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240" windowWidth="19020" windowHeight="9735"/>
  </bookViews>
  <sheets>
    <sheet name="Res (100kWh)" sheetId="1" r:id="rId1"/>
    <sheet name="Res (250kWh)" sheetId="26" r:id="rId2"/>
    <sheet name="Res (500kWh)" sheetId="27" r:id="rId3"/>
    <sheet name="Res (800kWh)" sheetId="28" r:id="rId4"/>
    <sheet name="Res (1000kWh)" sheetId="29" r:id="rId5"/>
    <sheet name="Res (1500kWh)" sheetId="30" r:id="rId6"/>
    <sheet name="Res (2000kWh)" sheetId="31" r:id="rId7"/>
    <sheet name="GS&lt;50 (1,000kWh)" sheetId="8" r:id="rId8"/>
    <sheet name="GS&lt;50 (2,000kWh)" sheetId="32" r:id="rId9"/>
    <sheet name="GS&lt;50 (5,000kWh)" sheetId="33" r:id="rId10"/>
    <sheet name="GS&lt;50 (10,000kWh)" sheetId="34" r:id="rId11"/>
    <sheet name="GS&lt;50 (15,000kWh)" sheetId="35" r:id="rId12"/>
    <sheet name="GS 50-2999 (60kW)" sheetId="13" r:id="rId13"/>
    <sheet name="GS 50-2999 (100kW)" sheetId="36" r:id="rId14"/>
    <sheet name="GS 50-2999 (455 kW)" sheetId="38" r:id="rId15"/>
    <sheet name="GS 3000-4999 (3,000kW)" sheetId="14" r:id="rId16"/>
    <sheet name="GS 3000-4999 (3,290kW)" sheetId="39" r:id="rId17"/>
    <sheet name="GS 3000-4999 (5,000kW)" sheetId="37" r:id="rId18"/>
    <sheet name="ST (1kW)" sheetId="16" r:id="rId19"/>
    <sheet name="ST (470kW)" sheetId="40" r:id="rId20"/>
    <sheet name="SL (1kW)" sheetId="25" r:id="rId21"/>
    <sheet name="USL (150kWh)" sheetId="17" r:id="rId22"/>
    <sheet name="Summary" sheetId="24" r:id="rId23"/>
  </sheets>
  <externalReferences>
    <externalReference r:id="rId24"/>
    <externalReference r:id="rId25"/>
    <externalReference r:id="rId26"/>
    <externalReference r:id="rId27"/>
    <externalReference r:id="rId28"/>
  </externalReferences>
  <definedNames>
    <definedName name="EBNUMBER">'[1]LDC Info'!$E$16</definedName>
    <definedName name="_xlnm.Print_Area" localSheetId="15">'GS 3000-4999 (3,000kW)'!$A$1:$O$88</definedName>
    <definedName name="_xlnm.Print_Area" localSheetId="16">'GS 3000-4999 (3,290kW)'!$A$1:$O$88</definedName>
    <definedName name="_xlnm.Print_Area" localSheetId="17">'GS 3000-4999 (5,000kW)'!$A$1:$O$88</definedName>
    <definedName name="_xlnm.Print_Area" localSheetId="13">'GS 50-2999 (100kW)'!$A$1:$O$89</definedName>
    <definedName name="_xlnm.Print_Area" localSheetId="14">'GS 50-2999 (455 kW)'!$A$1:$O$89</definedName>
    <definedName name="_xlnm.Print_Area" localSheetId="12">'GS 50-2999 (60kW)'!$A$1:$O$89</definedName>
    <definedName name="_xlnm.Print_Area" localSheetId="7">'GS&lt;50 (1,000kWh)'!$A$1:$O$90</definedName>
    <definedName name="_xlnm.Print_Area" localSheetId="10">'GS&lt;50 (10,000kWh)'!$A$1:$O$90</definedName>
    <definedName name="_xlnm.Print_Area" localSheetId="11">'GS&lt;50 (15,000kWh)'!$A$1:$O$90</definedName>
    <definedName name="_xlnm.Print_Area" localSheetId="8">'GS&lt;50 (2,000kWh)'!$A$1:$O$90</definedName>
    <definedName name="_xlnm.Print_Area" localSheetId="9">'GS&lt;50 (5,000kWh)'!$A$1:$O$90</definedName>
    <definedName name="_xlnm.Print_Area" localSheetId="4">'Res (1000kWh)'!$A$1:$O$90</definedName>
    <definedName name="_xlnm.Print_Area" localSheetId="0">'Res (100kWh)'!$A$1:$O$90</definedName>
    <definedName name="_xlnm.Print_Area" localSheetId="5">'Res (1500kWh)'!$A$1:$O$90</definedName>
    <definedName name="_xlnm.Print_Area" localSheetId="6">'Res (2000kWh)'!$A$1:$O$90</definedName>
    <definedName name="_xlnm.Print_Area" localSheetId="1">'Res (250kWh)'!$A$1:$O$90</definedName>
    <definedName name="_xlnm.Print_Area" localSheetId="2">'Res (500kWh)'!$A$1:$O$90</definedName>
    <definedName name="_xlnm.Print_Area" localSheetId="3">'Res (800kWh)'!$A$1:$O$90</definedName>
    <definedName name="_xlnm.Print_Area" localSheetId="20">'SL (1kW)'!$A$1:$O$88</definedName>
    <definedName name="_xlnm.Print_Area" localSheetId="18">'ST (1kW)'!$A$1:$O$89</definedName>
    <definedName name="_xlnm.Print_Area" localSheetId="19">'ST (470kW)'!$A$1:$O$89</definedName>
    <definedName name="_xlnm.Print_Area" localSheetId="21">'USL (150kWh)'!$A$1:$O$88</definedName>
  </definedNames>
  <calcPr calcId="145621" iterate="1" iterateCount="1000"/>
</workbook>
</file>

<file path=xl/calcChain.xml><?xml version="1.0" encoding="utf-8"?>
<calcChain xmlns="http://schemas.openxmlformats.org/spreadsheetml/2006/main">
  <c r="J41" i="17" l="1"/>
  <c r="J38" i="17"/>
  <c r="J26" i="17"/>
  <c r="J41" i="25"/>
  <c r="J38" i="25"/>
  <c r="J26" i="25"/>
  <c r="J42" i="40"/>
  <c r="J39" i="40"/>
  <c r="J27" i="40"/>
  <c r="J25" i="40"/>
  <c r="J42" i="16"/>
  <c r="J39" i="16"/>
  <c r="J27" i="16"/>
  <c r="J25" i="16"/>
  <c r="J41" i="37"/>
  <c r="J38" i="37"/>
  <c r="J26" i="37"/>
  <c r="J41" i="39"/>
  <c r="J38" i="39"/>
  <c r="J26" i="39"/>
  <c r="J41" i="14"/>
  <c r="J38" i="14"/>
  <c r="J26" i="14"/>
  <c r="J42" i="38"/>
  <c r="J39" i="38"/>
  <c r="J27" i="38"/>
  <c r="J25" i="38"/>
  <c r="J42" i="36"/>
  <c r="J39" i="36"/>
  <c r="J27" i="36"/>
  <c r="J25" i="36"/>
  <c r="J42" i="13"/>
  <c r="J39" i="13"/>
  <c r="J27" i="13"/>
  <c r="J25" i="13"/>
  <c r="J40" i="35"/>
  <c r="J27" i="35"/>
  <c r="J25" i="35"/>
  <c r="J40" i="34"/>
  <c r="J27" i="34"/>
  <c r="J25" i="34"/>
  <c r="J40" i="33"/>
  <c r="J27" i="33"/>
  <c r="J25" i="33"/>
  <c r="J40" i="32"/>
  <c r="J27" i="32"/>
  <c r="J25" i="32"/>
  <c r="J40" i="8"/>
  <c r="J27" i="8"/>
  <c r="J25" i="8"/>
  <c r="J40" i="31"/>
  <c r="J27" i="31"/>
  <c r="J25" i="31"/>
  <c r="J40" i="30"/>
  <c r="J27" i="30"/>
  <c r="J25" i="30"/>
  <c r="J40" i="29"/>
  <c r="J27" i="29"/>
  <c r="J25" i="29"/>
  <c r="J40" i="28"/>
  <c r="J27" i="28"/>
  <c r="J25" i="28"/>
  <c r="J40" i="27"/>
  <c r="J27" i="27"/>
  <c r="J40" i="26"/>
  <c r="J27" i="26"/>
  <c r="J40" i="1"/>
  <c r="J27" i="1"/>
  <c r="J25" i="1"/>
  <c r="J47" i="17" l="1"/>
  <c r="J46" i="17"/>
  <c r="J47" i="25"/>
  <c r="J46" i="25"/>
  <c r="J48" i="40"/>
  <c r="J47" i="40"/>
  <c r="J48" i="16"/>
  <c r="J47" i="16"/>
  <c r="J47" i="37"/>
  <c r="J46" i="37"/>
  <c r="J47" i="39"/>
  <c r="J46" i="39"/>
  <c r="J47" i="14"/>
  <c r="J46" i="14"/>
  <c r="J48" i="38"/>
  <c r="J47" i="38"/>
  <c r="J48" i="36"/>
  <c r="J47" i="36"/>
  <c r="J48" i="13"/>
  <c r="J47" i="13"/>
  <c r="J49" i="35"/>
  <c r="J48" i="35"/>
  <c r="J49" i="34"/>
  <c r="J48" i="34"/>
  <c r="J49" i="33"/>
  <c r="J48" i="33"/>
  <c r="J49" i="32"/>
  <c r="J48" i="32"/>
  <c r="J49" i="8"/>
  <c r="J48" i="8"/>
  <c r="J49" i="31"/>
  <c r="J48" i="31"/>
  <c r="J49" i="30"/>
  <c r="J48" i="30"/>
  <c r="J49" i="29"/>
  <c r="J48" i="29"/>
  <c r="J49" i="28"/>
  <c r="J48" i="28"/>
  <c r="J49" i="27"/>
  <c r="J48" i="27"/>
  <c r="J49" i="26"/>
  <c r="J48" i="26"/>
  <c r="J49" i="1"/>
  <c r="J48" i="1"/>
  <c r="J27" i="17"/>
  <c r="J21" i="17"/>
  <c r="J27" i="25"/>
  <c r="J21" i="25"/>
  <c r="J28" i="40"/>
  <c r="J21" i="40"/>
  <c r="J28" i="16"/>
  <c r="J21" i="16"/>
  <c r="J27" i="37"/>
  <c r="J21" i="37"/>
  <c r="J27" i="39"/>
  <c r="J21" i="39"/>
  <c r="J27" i="14"/>
  <c r="J21" i="14"/>
  <c r="J28" i="35"/>
  <c r="J21" i="35"/>
  <c r="J28" i="34"/>
  <c r="J21" i="34"/>
  <c r="J28" i="33"/>
  <c r="J21" i="33"/>
  <c r="J28" i="32"/>
  <c r="J21" i="32"/>
  <c r="J28" i="8"/>
  <c r="J21" i="8"/>
  <c r="J28" i="31"/>
  <c r="J21" i="31"/>
  <c r="J28" i="30"/>
  <c r="J21" i="30"/>
  <c r="J28" i="29"/>
  <c r="J21" i="29"/>
  <c r="J28" i="28"/>
  <c r="J21" i="28"/>
  <c r="J28" i="27"/>
  <c r="J21" i="27"/>
  <c r="J28" i="26"/>
  <c r="J21" i="26"/>
  <c r="J28" i="1"/>
  <c r="J21" i="1"/>
  <c r="F27" i="17"/>
  <c r="F21" i="17"/>
  <c r="F27" i="25"/>
  <c r="F21" i="25"/>
  <c r="F28" i="40"/>
  <c r="F21" i="40"/>
  <c r="F28" i="16"/>
  <c r="F21" i="16"/>
  <c r="F27" i="37"/>
  <c r="F21" i="37"/>
  <c r="F27" i="39"/>
  <c r="F21" i="39"/>
  <c r="F27" i="14"/>
  <c r="F21" i="14"/>
  <c r="F28" i="38"/>
  <c r="F21" i="38"/>
  <c r="F28" i="36"/>
  <c r="F21" i="36"/>
  <c r="F28" i="13"/>
  <c r="F21" i="13"/>
  <c r="F28" i="35"/>
  <c r="F21" i="35"/>
  <c r="F28" i="34"/>
  <c r="F21" i="34"/>
  <c r="F28" i="33"/>
  <c r="F21" i="33"/>
  <c r="F28" i="32"/>
  <c r="F21" i="32"/>
  <c r="F28" i="8"/>
  <c r="F21" i="8"/>
  <c r="F28" i="31"/>
  <c r="F21" i="31"/>
  <c r="F28" i="30"/>
  <c r="F21" i="30"/>
  <c r="F28" i="29"/>
  <c r="F21" i="29"/>
  <c r="F28" i="28"/>
  <c r="F21" i="28"/>
  <c r="F28" i="27"/>
  <c r="F21" i="27"/>
  <c r="F28" i="26"/>
  <c r="F21" i="26"/>
  <c r="F28" i="1"/>
  <c r="F21" i="1"/>
  <c r="N5" i="24" l="1"/>
  <c r="N3" i="24"/>
  <c r="N2" i="24"/>
  <c r="N1" i="24"/>
  <c r="N5" i="17" l="1"/>
  <c r="N3" i="17"/>
  <c r="N2" i="17"/>
  <c r="N1" i="17"/>
  <c r="N5" i="25"/>
  <c r="N3" i="25"/>
  <c r="N2" i="25"/>
  <c r="N1" i="25"/>
  <c r="N5" i="40"/>
  <c r="N3" i="40"/>
  <c r="N2" i="40"/>
  <c r="N1" i="40"/>
  <c r="N5" i="16"/>
  <c r="N3" i="16"/>
  <c r="N2" i="16"/>
  <c r="N1" i="16"/>
  <c r="N5" i="37"/>
  <c r="N3" i="37"/>
  <c r="N2" i="37"/>
  <c r="N1" i="37"/>
  <c r="N5" i="39"/>
  <c r="N3" i="39"/>
  <c r="N2" i="39"/>
  <c r="N1" i="39"/>
  <c r="N5" i="14"/>
  <c r="N3" i="14"/>
  <c r="N2" i="14"/>
  <c r="N1" i="14"/>
  <c r="N5" i="38"/>
  <c r="N3" i="38"/>
  <c r="N2" i="38"/>
  <c r="N1" i="38"/>
  <c r="N5" i="36"/>
  <c r="N3" i="36"/>
  <c r="N2" i="36"/>
  <c r="N1" i="36"/>
  <c r="N5" i="13"/>
  <c r="N3" i="13"/>
  <c r="N2" i="13"/>
  <c r="N1" i="13"/>
  <c r="N5" i="35"/>
  <c r="N3" i="35"/>
  <c r="N2" i="35"/>
  <c r="N1" i="35"/>
  <c r="N5" i="34"/>
  <c r="N3" i="34"/>
  <c r="N2" i="34"/>
  <c r="N1" i="34"/>
  <c r="N5" i="33"/>
  <c r="N3" i="33"/>
  <c r="N2" i="33"/>
  <c r="N1" i="33"/>
  <c r="N5" i="32"/>
  <c r="N3" i="32"/>
  <c r="N2" i="32"/>
  <c r="N1" i="32"/>
  <c r="N5" i="8"/>
  <c r="N3" i="8"/>
  <c r="N2" i="8"/>
  <c r="N1" i="8"/>
  <c r="N5" i="31"/>
  <c r="N3" i="31"/>
  <c r="N2" i="31"/>
  <c r="N1" i="31"/>
  <c r="N5" i="30"/>
  <c r="N3" i="30"/>
  <c r="N2" i="30"/>
  <c r="N1" i="30"/>
  <c r="N5" i="29"/>
  <c r="N3" i="29"/>
  <c r="N2" i="29"/>
  <c r="N1" i="29"/>
  <c r="N5" i="28"/>
  <c r="N3" i="28"/>
  <c r="N2" i="28"/>
  <c r="N1" i="28"/>
  <c r="N5" i="27"/>
  <c r="N3" i="27"/>
  <c r="N2" i="27"/>
  <c r="N1" i="27"/>
  <c r="N5" i="26"/>
  <c r="N3" i="26"/>
  <c r="N2" i="26"/>
  <c r="N1" i="26"/>
  <c r="K25" i="16" l="1"/>
  <c r="G25" i="16"/>
  <c r="H25" i="16" s="1"/>
  <c r="O25" i="16" s="1"/>
  <c r="K25" i="36"/>
  <c r="L25" i="36"/>
  <c r="G25" i="36"/>
  <c r="H25" i="36" s="1"/>
  <c r="O25" i="36" s="1"/>
  <c r="K25" i="13"/>
  <c r="L25" i="13"/>
  <c r="G25" i="13"/>
  <c r="H25" i="13" s="1"/>
  <c r="O25" i="13" s="1"/>
  <c r="K25" i="35"/>
  <c r="L25" i="35" s="1"/>
  <c r="N25" i="35" s="1"/>
  <c r="G25" i="35"/>
  <c r="H25" i="35" s="1"/>
  <c r="O25" i="35" s="1"/>
  <c r="K25" i="34"/>
  <c r="G25" i="34"/>
  <c r="H25" i="34" s="1"/>
  <c r="O25" i="34" s="1"/>
  <c r="K25" i="33"/>
  <c r="L25" i="33"/>
  <c r="G25" i="33"/>
  <c r="H25" i="33" s="1"/>
  <c r="O25" i="33" s="1"/>
  <c r="K25" i="8"/>
  <c r="G25" i="8"/>
  <c r="H25" i="8" s="1"/>
  <c r="O25" i="8" s="1"/>
  <c r="L25" i="34" l="1"/>
  <c r="N25" i="34" s="1"/>
  <c r="L25" i="16"/>
  <c r="N25" i="16" s="1"/>
  <c r="N25" i="36"/>
  <c r="N25" i="13"/>
  <c r="N25" i="33"/>
  <c r="L25" i="8"/>
  <c r="N25" i="8" s="1"/>
  <c r="K25" i="31" l="1"/>
  <c r="L25" i="31" s="1"/>
  <c r="G25" i="31"/>
  <c r="H25" i="31" s="1"/>
  <c r="O25" i="31" s="1"/>
  <c r="K25" i="30"/>
  <c r="L25" i="30" s="1"/>
  <c r="G25" i="30"/>
  <c r="H25" i="30" s="1"/>
  <c r="O25" i="30" s="1"/>
  <c r="K25" i="29"/>
  <c r="L25" i="29" s="1"/>
  <c r="N25" i="29" s="1"/>
  <c r="G25" i="29"/>
  <c r="H25" i="29" s="1"/>
  <c r="O25" i="29" s="1"/>
  <c r="K25" i="1"/>
  <c r="L25" i="1"/>
  <c r="G25" i="1"/>
  <c r="H25" i="1" s="1"/>
  <c r="O25" i="1" s="1"/>
  <c r="N25" i="31" l="1"/>
  <c r="N25" i="30"/>
  <c r="N25" i="1"/>
  <c r="J72" i="17"/>
  <c r="J72" i="25"/>
  <c r="J73" i="40"/>
  <c r="J73" i="38"/>
  <c r="J74" i="32"/>
  <c r="J74" i="28"/>
  <c r="J73" i="16"/>
  <c r="J72" i="37"/>
  <c r="J72" i="14"/>
  <c r="J73" i="36"/>
  <c r="J73" i="13"/>
  <c r="J74" i="35"/>
  <c r="J74" i="34"/>
  <c r="J74" i="33"/>
  <c r="J74" i="8"/>
  <c r="J74" i="31"/>
  <c r="J74" i="30"/>
  <c r="J74" i="29"/>
  <c r="J74" i="27"/>
  <c r="J74" i="26"/>
  <c r="K52" i="40" l="1"/>
  <c r="G52" i="40"/>
  <c r="K25" i="40" l="1"/>
  <c r="H25" i="40"/>
  <c r="O25" i="40" s="1"/>
  <c r="G25" i="40"/>
  <c r="O25" i="38"/>
  <c r="K25" i="38"/>
  <c r="H25" i="38"/>
  <c r="G25" i="38"/>
  <c r="O25" i="32"/>
  <c r="K25" i="32"/>
  <c r="H25" i="32"/>
  <c r="G25" i="32"/>
  <c r="O25" i="28"/>
  <c r="K25" i="28"/>
  <c r="H25" i="28"/>
  <c r="G25" i="28"/>
  <c r="K46" i="25" l="1"/>
  <c r="G46" i="25"/>
  <c r="K47" i="40"/>
  <c r="G47" i="40"/>
  <c r="G58" i="40"/>
  <c r="H58" i="40" s="1"/>
  <c r="G57" i="40"/>
  <c r="H57" i="40" s="1"/>
  <c r="N56" i="40"/>
  <c r="L56" i="40"/>
  <c r="H56" i="40"/>
  <c r="O56" i="40" s="1"/>
  <c r="N55" i="40"/>
  <c r="L55" i="40"/>
  <c r="H55" i="40"/>
  <c r="O55" i="40" s="1"/>
  <c r="K54" i="40"/>
  <c r="L54" i="40" s="1"/>
  <c r="G54" i="40"/>
  <c r="H54" i="40" s="1"/>
  <c r="K53" i="40"/>
  <c r="L53" i="40" s="1"/>
  <c r="G53" i="40"/>
  <c r="H53" i="40" s="1"/>
  <c r="L52" i="40"/>
  <c r="H52" i="40"/>
  <c r="K50" i="40"/>
  <c r="L50" i="40" s="1"/>
  <c r="G50" i="40"/>
  <c r="H50" i="40" s="1"/>
  <c r="K48" i="40"/>
  <c r="H47" i="40"/>
  <c r="L45" i="40"/>
  <c r="N45" i="40" s="1"/>
  <c r="H45" i="40"/>
  <c r="K44" i="40"/>
  <c r="G44" i="40"/>
  <c r="K43" i="40"/>
  <c r="G43" i="40"/>
  <c r="H43" i="40" s="1"/>
  <c r="K42" i="40"/>
  <c r="H42" i="40"/>
  <c r="G42" i="40"/>
  <c r="L41" i="40"/>
  <c r="K41" i="40"/>
  <c r="H41" i="40"/>
  <c r="O41" i="40" s="1"/>
  <c r="G41" i="40"/>
  <c r="L40" i="40"/>
  <c r="K40" i="40"/>
  <c r="H40" i="40"/>
  <c r="O40" i="40" s="1"/>
  <c r="G40" i="40"/>
  <c r="K39" i="40"/>
  <c r="G39" i="40"/>
  <c r="H39" i="40" s="1"/>
  <c r="K37" i="40"/>
  <c r="L37" i="40" s="1"/>
  <c r="G37" i="40"/>
  <c r="H37" i="40" s="1"/>
  <c r="O37" i="40" s="1"/>
  <c r="K36" i="40"/>
  <c r="L36" i="40" s="1"/>
  <c r="G36" i="40"/>
  <c r="H36" i="40" s="1"/>
  <c r="O36" i="40" s="1"/>
  <c r="K35" i="40"/>
  <c r="L35" i="40" s="1"/>
  <c r="G35" i="40"/>
  <c r="H35" i="40" s="1"/>
  <c r="O35" i="40" s="1"/>
  <c r="K34" i="40"/>
  <c r="L34" i="40" s="1"/>
  <c r="G34" i="40"/>
  <c r="H34" i="40" s="1"/>
  <c r="O34" i="40" s="1"/>
  <c r="K33" i="40"/>
  <c r="L33" i="40" s="1"/>
  <c r="G33" i="40"/>
  <c r="H33" i="40" s="1"/>
  <c r="O33" i="40" s="1"/>
  <c r="K32" i="40"/>
  <c r="L32" i="40" s="1"/>
  <c r="G32" i="40"/>
  <c r="H32" i="40" s="1"/>
  <c r="O32" i="40" s="1"/>
  <c r="K31" i="40"/>
  <c r="L31" i="40" s="1"/>
  <c r="G31" i="40"/>
  <c r="H31" i="40" s="1"/>
  <c r="O31" i="40" s="1"/>
  <c r="K30" i="40"/>
  <c r="L30" i="40" s="1"/>
  <c r="G30" i="40"/>
  <c r="H30" i="40" s="1"/>
  <c r="O30" i="40" s="1"/>
  <c r="K29" i="40"/>
  <c r="L29" i="40" s="1"/>
  <c r="G29" i="40"/>
  <c r="H29" i="40" s="1"/>
  <c r="O29" i="40" s="1"/>
  <c r="K28" i="40"/>
  <c r="G28" i="40"/>
  <c r="H28" i="40"/>
  <c r="K27" i="40"/>
  <c r="G27" i="40"/>
  <c r="H27" i="40" s="1"/>
  <c r="O27" i="40" s="1"/>
  <c r="K26" i="40"/>
  <c r="L26" i="40" s="1"/>
  <c r="G26" i="40"/>
  <c r="H26" i="40" s="1"/>
  <c r="O24" i="40"/>
  <c r="L24" i="40"/>
  <c r="N24" i="40" s="1"/>
  <c r="H24" i="40"/>
  <c r="O23" i="40"/>
  <c r="L23" i="40"/>
  <c r="N23" i="40" s="1"/>
  <c r="H23" i="40"/>
  <c r="O22" i="40"/>
  <c r="L22" i="40"/>
  <c r="N22" i="40" s="1"/>
  <c r="H22" i="40"/>
  <c r="H21" i="40"/>
  <c r="G43" i="39"/>
  <c r="K46" i="39"/>
  <c r="G46" i="39"/>
  <c r="H46" i="39" s="1"/>
  <c r="G57" i="39"/>
  <c r="H57" i="39" s="1"/>
  <c r="G56" i="39"/>
  <c r="H56" i="39" s="1"/>
  <c r="N55" i="39"/>
  <c r="L55" i="39"/>
  <c r="H55" i="39"/>
  <c r="O55" i="39" s="1"/>
  <c r="N54" i="39"/>
  <c r="L54" i="39"/>
  <c r="H54" i="39"/>
  <c r="O54" i="39" s="1"/>
  <c r="G53" i="39"/>
  <c r="H53" i="39" s="1"/>
  <c r="K52" i="39"/>
  <c r="L52" i="39" s="1"/>
  <c r="G52" i="39"/>
  <c r="H52" i="39" s="1"/>
  <c r="N51" i="39"/>
  <c r="L51" i="39"/>
  <c r="H51" i="39"/>
  <c r="O51" i="39" s="1"/>
  <c r="K49" i="39"/>
  <c r="L49" i="39" s="1"/>
  <c r="G49" i="39"/>
  <c r="H49" i="39" s="1"/>
  <c r="K47" i="39"/>
  <c r="L46" i="39"/>
  <c r="L44" i="39"/>
  <c r="N44" i="39" s="1"/>
  <c r="H44" i="39"/>
  <c r="K43" i="39"/>
  <c r="K42" i="39"/>
  <c r="G42" i="39"/>
  <c r="H42" i="39" s="1"/>
  <c r="K41" i="39"/>
  <c r="H41" i="39"/>
  <c r="G41" i="39"/>
  <c r="K40" i="39"/>
  <c r="L40" i="39" s="1"/>
  <c r="N40" i="39" s="1"/>
  <c r="H40" i="39"/>
  <c r="O40" i="39" s="1"/>
  <c r="G40" i="39"/>
  <c r="K39" i="39"/>
  <c r="L39" i="39" s="1"/>
  <c r="N39" i="39" s="1"/>
  <c r="H39" i="39"/>
  <c r="O39" i="39" s="1"/>
  <c r="G39" i="39"/>
  <c r="K38" i="39"/>
  <c r="K36" i="39"/>
  <c r="L36" i="39" s="1"/>
  <c r="N36" i="39" s="1"/>
  <c r="G36" i="39"/>
  <c r="H36" i="39" s="1"/>
  <c r="O36" i="39" s="1"/>
  <c r="K35" i="39"/>
  <c r="L35" i="39" s="1"/>
  <c r="G35" i="39"/>
  <c r="H35" i="39" s="1"/>
  <c r="O35" i="39" s="1"/>
  <c r="K34" i="39"/>
  <c r="L34" i="39" s="1"/>
  <c r="N34" i="39" s="1"/>
  <c r="G34" i="39"/>
  <c r="H34" i="39" s="1"/>
  <c r="O34" i="39" s="1"/>
  <c r="K33" i="39"/>
  <c r="L33" i="39" s="1"/>
  <c r="G33" i="39"/>
  <c r="H33" i="39" s="1"/>
  <c r="O33" i="39" s="1"/>
  <c r="K32" i="39"/>
  <c r="L32" i="39" s="1"/>
  <c r="N32" i="39" s="1"/>
  <c r="G32" i="39"/>
  <c r="H32" i="39" s="1"/>
  <c r="O32" i="39" s="1"/>
  <c r="K31" i="39"/>
  <c r="L31" i="39" s="1"/>
  <c r="G31" i="39"/>
  <c r="H31" i="39" s="1"/>
  <c r="O31" i="39" s="1"/>
  <c r="K30" i="39"/>
  <c r="L30" i="39" s="1"/>
  <c r="N30" i="39" s="1"/>
  <c r="G30" i="39"/>
  <c r="H30" i="39" s="1"/>
  <c r="O30" i="39" s="1"/>
  <c r="K29" i="39"/>
  <c r="L29" i="39" s="1"/>
  <c r="G29" i="39"/>
  <c r="H29" i="39" s="1"/>
  <c r="O29" i="39" s="1"/>
  <c r="K28" i="39"/>
  <c r="L28" i="39" s="1"/>
  <c r="N28" i="39" s="1"/>
  <c r="G28" i="39"/>
  <c r="H28" i="39" s="1"/>
  <c r="O28" i="39" s="1"/>
  <c r="K27" i="39"/>
  <c r="G27" i="39"/>
  <c r="K26" i="39"/>
  <c r="H26" i="39"/>
  <c r="O26" i="39" s="1"/>
  <c r="G26" i="39"/>
  <c r="K25" i="39"/>
  <c r="L25" i="39" s="1"/>
  <c r="N25" i="39" s="1"/>
  <c r="H25" i="39"/>
  <c r="G25" i="39"/>
  <c r="O24" i="39"/>
  <c r="L24" i="39"/>
  <c r="N24" i="39" s="1"/>
  <c r="H24" i="39"/>
  <c r="O23" i="39"/>
  <c r="L23" i="39"/>
  <c r="N23" i="39" s="1"/>
  <c r="H23" i="39"/>
  <c r="O22" i="39"/>
  <c r="L22" i="39"/>
  <c r="N22" i="39" s="1"/>
  <c r="H22" i="39"/>
  <c r="H21" i="39"/>
  <c r="K47" i="38"/>
  <c r="K48" i="38" s="1"/>
  <c r="G47" i="38"/>
  <c r="G48" i="38" s="1"/>
  <c r="H48" i="38" s="1"/>
  <c r="K47" i="36"/>
  <c r="G47" i="36"/>
  <c r="K47" i="13"/>
  <c r="G47" i="13"/>
  <c r="K58" i="38"/>
  <c r="L58" i="38" s="1"/>
  <c r="N58" i="38" s="1"/>
  <c r="H58" i="38"/>
  <c r="O58" i="38" s="1"/>
  <c r="L57" i="38"/>
  <c r="N57" i="38" s="1"/>
  <c r="K57" i="38"/>
  <c r="H57" i="38"/>
  <c r="O57" i="38" s="1"/>
  <c r="O56" i="38"/>
  <c r="N56" i="38"/>
  <c r="L56" i="38"/>
  <c r="H56" i="38"/>
  <c r="O55" i="38"/>
  <c r="N55" i="38"/>
  <c r="L55" i="38"/>
  <c r="H55" i="38"/>
  <c r="G54" i="38"/>
  <c r="K54" i="38" s="1"/>
  <c r="L54" i="38" s="1"/>
  <c r="K53" i="38"/>
  <c r="L53" i="38" s="1"/>
  <c r="G53" i="38"/>
  <c r="H53" i="38" s="1"/>
  <c r="N52" i="38"/>
  <c r="O52" i="38" s="1"/>
  <c r="L52" i="38"/>
  <c r="H52" i="38"/>
  <c r="K50" i="38"/>
  <c r="L50" i="38" s="1"/>
  <c r="G50" i="38"/>
  <c r="H50" i="38" s="1"/>
  <c r="L45" i="38"/>
  <c r="N45" i="38" s="1"/>
  <c r="H45" i="38"/>
  <c r="K44" i="38"/>
  <c r="L44" i="38" s="1"/>
  <c r="J44" i="38"/>
  <c r="G44" i="38"/>
  <c r="H44" i="38" s="1"/>
  <c r="F44" i="38"/>
  <c r="K43" i="38"/>
  <c r="G43" i="38"/>
  <c r="H43" i="38" s="1"/>
  <c r="K42" i="38"/>
  <c r="G42" i="38"/>
  <c r="H42" i="38" s="1"/>
  <c r="L41" i="38"/>
  <c r="K41" i="38"/>
  <c r="G41" i="38"/>
  <c r="H41" i="38" s="1"/>
  <c r="O41" i="38" s="1"/>
  <c r="K40" i="38"/>
  <c r="L40" i="38" s="1"/>
  <c r="H40" i="38"/>
  <c r="O40" i="38" s="1"/>
  <c r="G40" i="38"/>
  <c r="K39" i="38"/>
  <c r="K37" i="38"/>
  <c r="L37" i="38" s="1"/>
  <c r="N37" i="38" s="1"/>
  <c r="G37" i="38"/>
  <c r="H37" i="38" s="1"/>
  <c r="O37" i="38" s="1"/>
  <c r="K36" i="38"/>
  <c r="L36" i="38" s="1"/>
  <c r="G36" i="38"/>
  <c r="H36" i="38" s="1"/>
  <c r="O36" i="38" s="1"/>
  <c r="K35" i="38"/>
  <c r="L35" i="38" s="1"/>
  <c r="G35" i="38"/>
  <c r="H35" i="38" s="1"/>
  <c r="O35" i="38" s="1"/>
  <c r="K34" i="38"/>
  <c r="L34" i="38" s="1"/>
  <c r="G34" i="38"/>
  <c r="H34" i="38" s="1"/>
  <c r="O34" i="38" s="1"/>
  <c r="K33" i="38"/>
  <c r="L33" i="38" s="1"/>
  <c r="G33" i="38"/>
  <c r="H33" i="38" s="1"/>
  <c r="O33" i="38" s="1"/>
  <c r="K32" i="38"/>
  <c r="L32" i="38" s="1"/>
  <c r="G32" i="38"/>
  <c r="H32" i="38" s="1"/>
  <c r="O32" i="38" s="1"/>
  <c r="K31" i="38"/>
  <c r="L31" i="38" s="1"/>
  <c r="G31" i="38"/>
  <c r="H31" i="38" s="1"/>
  <c r="O31" i="38" s="1"/>
  <c r="K30" i="38"/>
  <c r="L30" i="38" s="1"/>
  <c r="G30" i="38"/>
  <c r="H30" i="38" s="1"/>
  <c r="O30" i="38" s="1"/>
  <c r="K29" i="38"/>
  <c r="L29" i="38" s="1"/>
  <c r="G29" i="38"/>
  <c r="H29" i="38" s="1"/>
  <c r="O29" i="38" s="1"/>
  <c r="K28" i="38"/>
  <c r="G28" i="38"/>
  <c r="G39" i="38" s="1"/>
  <c r="H39" i="38" s="1"/>
  <c r="H28" i="38"/>
  <c r="K27" i="38"/>
  <c r="G27" i="38"/>
  <c r="H27" i="38" s="1"/>
  <c r="O27" i="38" s="1"/>
  <c r="K26" i="38"/>
  <c r="L26" i="38" s="1"/>
  <c r="G26" i="38"/>
  <c r="H26" i="38" s="1"/>
  <c r="O24" i="38"/>
  <c r="L24" i="38"/>
  <c r="N24" i="38" s="1"/>
  <c r="H24" i="38"/>
  <c r="O23" i="38"/>
  <c r="L23" i="38"/>
  <c r="N23" i="38" s="1"/>
  <c r="H23" i="38"/>
  <c r="O22" i="38"/>
  <c r="L22" i="38"/>
  <c r="N22" i="38" s="1"/>
  <c r="H22" i="38"/>
  <c r="H21" i="38"/>
  <c r="O27" i="28"/>
  <c r="L47" i="39" l="1"/>
  <c r="L48" i="38"/>
  <c r="N48" i="38" s="1"/>
  <c r="O48" i="38" s="1"/>
  <c r="O52" i="40"/>
  <c r="N52" i="40"/>
  <c r="N30" i="38"/>
  <c r="N34" i="38"/>
  <c r="N29" i="38"/>
  <c r="N31" i="38"/>
  <c r="N33" i="38"/>
  <c r="N35" i="38"/>
  <c r="N32" i="38"/>
  <c r="N36" i="38"/>
  <c r="G51" i="38"/>
  <c r="H51" i="38" s="1"/>
  <c r="L48" i="40"/>
  <c r="H27" i="39"/>
  <c r="N26" i="40"/>
  <c r="N40" i="40"/>
  <c r="N41" i="40"/>
  <c r="L47" i="40"/>
  <c r="N47" i="40" s="1"/>
  <c r="O47" i="40" s="1"/>
  <c r="N53" i="40"/>
  <c r="N29" i="40"/>
  <c r="N31" i="40"/>
  <c r="N33" i="40"/>
  <c r="N35" i="40"/>
  <c r="N37" i="40"/>
  <c r="K57" i="40"/>
  <c r="L57" i="40" s="1"/>
  <c r="N57" i="40" s="1"/>
  <c r="O57" i="40" s="1"/>
  <c r="G51" i="40"/>
  <c r="H51" i="40" s="1"/>
  <c r="H38" i="40"/>
  <c r="N30" i="40"/>
  <c r="N32" i="40"/>
  <c r="N34" i="40"/>
  <c r="N36" i="40"/>
  <c r="N50" i="40"/>
  <c r="O50" i="40" s="1"/>
  <c r="N54" i="40"/>
  <c r="O54" i="40" s="1"/>
  <c r="O26" i="40"/>
  <c r="O53" i="40"/>
  <c r="K51" i="40"/>
  <c r="L51" i="40" s="1"/>
  <c r="K58" i="40"/>
  <c r="G48" i="40"/>
  <c r="H48" i="40" s="1"/>
  <c r="F44" i="40"/>
  <c r="H44" i="40" s="1"/>
  <c r="G50" i="39"/>
  <c r="H50" i="39" s="1"/>
  <c r="G38" i="39"/>
  <c r="H38" i="39" s="1"/>
  <c r="K56" i="39"/>
  <c r="L56" i="39" s="1"/>
  <c r="N56" i="39" s="1"/>
  <c r="O56" i="39" s="1"/>
  <c r="N52" i="39"/>
  <c r="O52" i="39" s="1"/>
  <c r="N29" i="39"/>
  <c r="N31" i="39"/>
  <c r="N33" i="39"/>
  <c r="N35" i="39"/>
  <c r="O25" i="39"/>
  <c r="N46" i="39"/>
  <c r="O46" i="39" s="1"/>
  <c r="N49" i="39"/>
  <c r="O49" i="39" s="1"/>
  <c r="K50" i="39"/>
  <c r="L50" i="39" s="1"/>
  <c r="K53" i="39"/>
  <c r="L53" i="39" s="1"/>
  <c r="K57" i="39"/>
  <c r="G47" i="39"/>
  <c r="H47" i="39" s="1"/>
  <c r="F43" i="39"/>
  <c r="H43" i="39" s="1"/>
  <c r="H38" i="38"/>
  <c r="H46" i="38" s="1"/>
  <c r="N41" i="38"/>
  <c r="N40" i="38"/>
  <c r="L47" i="38"/>
  <c r="N53" i="38"/>
  <c r="O53" i="38" s="1"/>
  <c r="N26" i="38"/>
  <c r="O26" i="38" s="1"/>
  <c r="N44" i="38"/>
  <c r="O44" i="38" s="1"/>
  <c r="N50" i="38"/>
  <c r="O50" i="38" s="1"/>
  <c r="H47" i="38"/>
  <c r="H54" i="38"/>
  <c r="N54" i="38" s="1"/>
  <c r="K51" i="38"/>
  <c r="L51" i="38" s="1"/>
  <c r="N51" i="38" s="1"/>
  <c r="O51" i="38" s="1"/>
  <c r="H21" i="37"/>
  <c r="H27" i="37"/>
  <c r="H21" i="14"/>
  <c r="H21" i="35"/>
  <c r="H28" i="35"/>
  <c r="H21" i="34"/>
  <c r="H28" i="34"/>
  <c r="H21" i="33"/>
  <c r="H28" i="33"/>
  <c r="H21" i="32"/>
  <c r="H28" i="32"/>
  <c r="H21" i="8"/>
  <c r="H28" i="8"/>
  <c r="H21" i="31"/>
  <c r="H28" i="31"/>
  <c r="H21" i="30"/>
  <c r="H28" i="30"/>
  <c r="H21" i="29"/>
  <c r="H28" i="29"/>
  <c r="H21" i="28"/>
  <c r="H28" i="28"/>
  <c r="H21" i="27"/>
  <c r="H28" i="27"/>
  <c r="H21" i="26"/>
  <c r="H28" i="26"/>
  <c r="H21" i="1"/>
  <c r="H28" i="1"/>
  <c r="H21" i="17"/>
  <c r="H27" i="17"/>
  <c r="L41" i="17"/>
  <c r="N41" i="17" s="1"/>
  <c r="H21" i="25"/>
  <c r="H27" i="25"/>
  <c r="H21" i="16"/>
  <c r="H28" i="16"/>
  <c r="G53" i="37"/>
  <c r="H53" i="37" s="1"/>
  <c r="G27" i="37"/>
  <c r="G38" i="37"/>
  <c r="H38" i="37"/>
  <c r="G39" i="37"/>
  <c r="H39" i="37" s="1"/>
  <c r="O39" i="37" s="1"/>
  <c r="G40" i="37"/>
  <c r="H40" i="37"/>
  <c r="O40" i="37" s="1"/>
  <c r="G41" i="37"/>
  <c r="H41" i="37" s="1"/>
  <c r="G42" i="37"/>
  <c r="H42" i="37"/>
  <c r="G43" i="37"/>
  <c r="G57" i="37"/>
  <c r="F43" i="37"/>
  <c r="H43" i="37"/>
  <c r="H44" i="37"/>
  <c r="H22" i="37"/>
  <c r="H23" i="37"/>
  <c r="H24" i="37"/>
  <c r="N24" i="37" s="1"/>
  <c r="G25" i="37"/>
  <c r="H25" i="37"/>
  <c r="G26" i="37"/>
  <c r="H26" i="37"/>
  <c r="O26" i="37" s="1"/>
  <c r="G28" i="37"/>
  <c r="H28" i="37"/>
  <c r="G29" i="37"/>
  <c r="H29" i="37"/>
  <c r="O29" i="37" s="1"/>
  <c r="G30" i="37"/>
  <c r="H30" i="37"/>
  <c r="G31" i="37"/>
  <c r="H31" i="37"/>
  <c r="O31" i="37" s="1"/>
  <c r="G32" i="37"/>
  <c r="H32" i="37"/>
  <c r="G33" i="37"/>
  <c r="H33" i="37"/>
  <c r="O33" i="37" s="1"/>
  <c r="G34" i="37"/>
  <c r="H34" i="37"/>
  <c r="G35" i="37"/>
  <c r="H35" i="37"/>
  <c r="O35" i="37" s="1"/>
  <c r="G36" i="37"/>
  <c r="H36" i="37"/>
  <c r="G46" i="37"/>
  <c r="G47" i="37" s="1"/>
  <c r="H47" i="37" s="1"/>
  <c r="H46" i="37"/>
  <c r="G49" i="37"/>
  <c r="G50" i="37" s="1"/>
  <c r="H50" i="37" s="1"/>
  <c r="H49" i="37"/>
  <c r="H51" i="37"/>
  <c r="G52" i="37"/>
  <c r="H52" i="37" s="1"/>
  <c r="K38" i="37"/>
  <c r="K39" i="37"/>
  <c r="L39" i="37"/>
  <c r="K40" i="37"/>
  <c r="L40" i="37"/>
  <c r="N40" i="37" s="1"/>
  <c r="K41" i="37"/>
  <c r="K42" i="37"/>
  <c r="K43" i="37"/>
  <c r="K57" i="37"/>
  <c r="J43" i="37" s="1"/>
  <c r="L44" i="37"/>
  <c r="L22" i="37"/>
  <c r="L23" i="37"/>
  <c r="N23" i="37" s="1"/>
  <c r="L24" i="37"/>
  <c r="K25" i="37"/>
  <c r="L25" i="37"/>
  <c r="K26" i="37"/>
  <c r="K27" i="37"/>
  <c r="K28" i="37"/>
  <c r="L28" i="37"/>
  <c r="N28" i="37" s="1"/>
  <c r="K29" i="37"/>
  <c r="L29" i="37" s="1"/>
  <c r="N29" i="37" s="1"/>
  <c r="K30" i="37"/>
  <c r="L30" i="37"/>
  <c r="N30" i="37" s="1"/>
  <c r="K31" i="37"/>
  <c r="L31" i="37" s="1"/>
  <c r="N31" i="37" s="1"/>
  <c r="K32" i="37"/>
  <c r="L32" i="37"/>
  <c r="N32" i="37" s="1"/>
  <c r="K33" i="37"/>
  <c r="L33" i="37" s="1"/>
  <c r="N33" i="37" s="1"/>
  <c r="K34" i="37"/>
  <c r="L34" i="37"/>
  <c r="N34" i="37" s="1"/>
  <c r="K35" i="37"/>
  <c r="L35" i="37" s="1"/>
  <c r="N35" i="37" s="1"/>
  <c r="K36" i="37"/>
  <c r="L36" i="37"/>
  <c r="N36" i="37" s="1"/>
  <c r="K46" i="37"/>
  <c r="L46" i="37" s="1"/>
  <c r="N46" i="37" s="1"/>
  <c r="O46" i="37" s="1"/>
  <c r="K49" i="37"/>
  <c r="L49" i="37" s="1"/>
  <c r="L51" i="37"/>
  <c r="K52" i="37"/>
  <c r="L52" i="37"/>
  <c r="N52" i="37" s="1"/>
  <c r="H54" i="37"/>
  <c r="H55" i="37"/>
  <c r="L54" i="37"/>
  <c r="N54" i="37" s="1"/>
  <c r="L55" i="37"/>
  <c r="H57" i="37"/>
  <c r="G56" i="37"/>
  <c r="H56" i="37" s="1"/>
  <c r="K56" i="37"/>
  <c r="L56" i="37"/>
  <c r="N56" i="37" s="1"/>
  <c r="O55" i="37"/>
  <c r="N55" i="37"/>
  <c r="O54" i="37"/>
  <c r="N51" i="37"/>
  <c r="O51" i="37"/>
  <c r="N44" i="37"/>
  <c r="O36" i="37"/>
  <c r="O34" i="37"/>
  <c r="O32" i="37"/>
  <c r="O30" i="37"/>
  <c r="O28" i="37"/>
  <c r="N25" i="37"/>
  <c r="O25" i="37" s="1"/>
  <c r="O23" i="37"/>
  <c r="O22" i="37"/>
  <c r="N22" i="37"/>
  <c r="H21" i="36"/>
  <c r="H28" i="36"/>
  <c r="H21" i="13"/>
  <c r="H28" i="13"/>
  <c r="G54" i="36"/>
  <c r="H54" i="36"/>
  <c r="G28" i="36"/>
  <c r="G39" i="36"/>
  <c r="H39" i="36"/>
  <c r="G40" i="36"/>
  <c r="H40" i="36"/>
  <c r="G41" i="36"/>
  <c r="H41" i="36"/>
  <c r="G42" i="36"/>
  <c r="H42" i="36"/>
  <c r="G43" i="36"/>
  <c r="H43" i="36"/>
  <c r="G44" i="36"/>
  <c r="F44" i="36"/>
  <c r="H44" i="36"/>
  <c r="H45" i="36"/>
  <c r="H22" i="36"/>
  <c r="H23" i="36"/>
  <c r="H24" i="36"/>
  <c r="G26" i="36"/>
  <c r="H26" i="36"/>
  <c r="G27" i="36"/>
  <c r="H27" i="36"/>
  <c r="G29" i="36"/>
  <c r="H29" i="36"/>
  <c r="G30" i="36"/>
  <c r="H30" i="36"/>
  <c r="G31" i="36"/>
  <c r="H31" i="36"/>
  <c r="G32" i="36"/>
  <c r="H32" i="36"/>
  <c r="G33" i="36"/>
  <c r="H33" i="36"/>
  <c r="G34" i="36"/>
  <c r="H34" i="36"/>
  <c r="G35" i="36"/>
  <c r="H35" i="36"/>
  <c r="G36" i="36"/>
  <c r="H36" i="36"/>
  <c r="G37" i="36"/>
  <c r="H37" i="36"/>
  <c r="H47" i="36"/>
  <c r="G48" i="36"/>
  <c r="H48" i="36" s="1"/>
  <c r="G50" i="36"/>
  <c r="H50" i="36"/>
  <c r="G51" i="36"/>
  <c r="H51" i="36"/>
  <c r="H52" i="36"/>
  <c r="G53" i="36"/>
  <c r="H53" i="36"/>
  <c r="K54" i="36"/>
  <c r="L54" i="36"/>
  <c r="K39" i="36"/>
  <c r="K40" i="36"/>
  <c r="L40" i="36"/>
  <c r="K41" i="36"/>
  <c r="L41" i="36"/>
  <c r="N41" i="36" s="1"/>
  <c r="K42" i="36"/>
  <c r="K43" i="36"/>
  <c r="K44" i="36"/>
  <c r="L44" i="36" s="1"/>
  <c r="N44" i="36" s="1"/>
  <c r="O44" i="36" s="1"/>
  <c r="K58" i="36"/>
  <c r="J44" i="36"/>
  <c r="L45" i="36"/>
  <c r="L22" i="36"/>
  <c r="L23" i="36"/>
  <c r="L24" i="36"/>
  <c r="K26" i="36"/>
  <c r="L26" i="36"/>
  <c r="K27" i="36"/>
  <c r="K28" i="36"/>
  <c r="K29" i="36"/>
  <c r="L29" i="36"/>
  <c r="K30" i="36"/>
  <c r="L30" i="36"/>
  <c r="K31" i="36"/>
  <c r="L31" i="36"/>
  <c r="K32" i="36"/>
  <c r="L32" i="36"/>
  <c r="K33" i="36"/>
  <c r="L33" i="36"/>
  <c r="K34" i="36"/>
  <c r="L34" i="36"/>
  <c r="K35" i="36"/>
  <c r="L35" i="36"/>
  <c r="K36" i="36"/>
  <c r="L36" i="36"/>
  <c r="K37" i="36"/>
  <c r="L37" i="36"/>
  <c r="L47" i="36"/>
  <c r="K48" i="36"/>
  <c r="K50" i="36"/>
  <c r="K51" i="36" s="1"/>
  <c r="L51" i="36" s="1"/>
  <c r="N51" i="36" s="1"/>
  <c r="O51" i="36" s="1"/>
  <c r="L52" i="36"/>
  <c r="K53" i="36"/>
  <c r="L53" i="36"/>
  <c r="H55" i="36"/>
  <c r="H56" i="36"/>
  <c r="L55" i="36"/>
  <c r="L56" i="36"/>
  <c r="H58" i="36"/>
  <c r="O58" i="36"/>
  <c r="L58" i="36"/>
  <c r="N58" i="36"/>
  <c r="H57" i="36"/>
  <c r="O57" i="36"/>
  <c r="K57" i="36"/>
  <c r="L57" i="36"/>
  <c r="N57" i="36"/>
  <c r="O56" i="36"/>
  <c r="N56" i="36"/>
  <c r="O55" i="36"/>
  <c r="N55" i="36"/>
  <c r="N54" i="36"/>
  <c r="O54" i="36"/>
  <c r="N53" i="36"/>
  <c r="O53" i="36"/>
  <c r="N52" i="36"/>
  <c r="O52" i="36"/>
  <c r="N45" i="36"/>
  <c r="O41" i="36"/>
  <c r="O40" i="36"/>
  <c r="N40" i="36"/>
  <c r="O37" i="36"/>
  <c r="N37" i="36"/>
  <c r="O36" i="36"/>
  <c r="N36" i="36"/>
  <c r="O35" i="36"/>
  <c r="N35" i="36"/>
  <c r="O34" i="36"/>
  <c r="N34" i="36"/>
  <c r="O33" i="36"/>
  <c r="N33" i="36"/>
  <c r="O32" i="36"/>
  <c r="N32" i="36"/>
  <c r="O31" i="36"/>
  <c r="N31" i="36"/>
  <c r="O30" i="36"/>
  <c r="N30" i="36"/>
  <c r="O29" i="36"/>
  <c r="N29" i="36"/>
  <c r="O27" i="36"/>
  <c r="N26" i="36"/>
  <c r="O26" i="36"/>
  <c r="O24" i="36"/>
  <c r="N24" i="36"/>
  <c r="O23" i="36"/>
  <c r="N23" i="36"/>
  <c r="O22" i="36"/>
  <c r="N22" i="36"/>
  <c r="G58" i="35"/>
  <c r="H58" i="35"/>
  <c r="G59" i="35"/>
  <c r="H59" i="35"/>
  <c r="H39" i="35"/>
  <c r="G40" i="35"/>
  <c r="H40" i="35"/>
  <c r="G41" i="35"/>
  <c r="H41" i="35"/>
  <c r="G42" i="35"/>
  <c r="H42" i="35"/>
  <c r="G43" i="35"/>
  <c r="H43" i="35"/>
  <c r="G44" i="35"/>
  <c r="H44" i="35"/>
  <c r="G45" i="35"/>
  <c r="F45" i="35"/>
  <c r="H45" i="35"/>
  <c r="H46" i="35"/>
  <c r="H22" i="35"/>
  <c r="H23" i="35"/>
  <c r="H24" i="35"/>
  <c r="G26" i="35"/>
  <c r="H26" i="35"/>
  <c r="G27" i="35"/>
  <c r="H27" i="35"/>
  <c r="G28" i="35"/>
  <c r="G29" i="35"/>
  <c r="H29" i="35"/>
  <c r="G30" i="35"/>
  <c r="H30" i="35"/>
  <c r="G31" i="35"/>
  <c r="H31" i="35"/>
  <c r="G32" i="35"/>
  <c r="H32" i="35"/>
  <c r="G33" i="35"/>
  <c r="H33" i="35"/>
  <c r="G34" i="35"/>
  <c r="H34" i="35"/>
  <c r="G35" i="35"/>
  <c r="H35" i="35"/>
  <c r="G36" i="35"/>
  <c r="H36" i="35"/>
  <c r="G37" i="35"/>
  <c r="H37" i="35"/>
  <c r="G48" i="35"/>
  <c r="H48" i="35"/>
  <c r="G49" i="35"/>
  <c r="H49" i="35"/>
  <c r="G51" i="35"/>
  <c r="H51" i="35"/>
  <c r="G52" i="35"/>
  <c r="H52" i="35"/>
  <c r="H53" i="35"/>
  <c r="G54" i="35"/>
  <c r="H54" i="35"/>
  <c r="K58" i="35"/>
  <c r="L58" i="35"/>
  <c r="K59" i="35"/>
  <c r="L59" i="35"/>
  <c r="L39" i="35"/>
  <c r="K40" i="35"/>
  <c r="K41" i="35"/>
  <c r="L41" i="35"/>
  <c r="K42" i="35"/>
  <c r="L42" i="35"/>
  <c r="K43" i="35"/>
  <c r="L43" i="35"/>
  <c r="K44" i="35"/>
  <c r="K45" i="35"/>
  <c r="L45" i="35" s="1"/>
  <c r="N45" i="35" s="1"/>
  <c r="O45" i="35" s="1"/>
  <c r="J45" i="35"/>
  <c r="L46" i="35"/>
  <c r="L22" i="35"/>
  <c r="L23" i="35"/>
  <c r="J24" i="35"/>
  <c r="L24" i="35" s="1"/>
  <c r="N24" i="35" s="1"/>
  <c r="K26" i="35"/>
  <c r="L26" i="35"/>
  <c r="K27" i="35"/>
  <c r="K28" i="35"/>
  <c r="K29" i="35"/>
  <c r="L29" i="35"/>
  <c r="N29" i="35" s="1"/>
  <c r="K30" i="35"/>
  <c r="L30" i="35"/>
  <c r="K31" i="35"/>
  <c r="L31" i="35"/>
  <c r="N31" i="35" s="1"/>
  <c r="K32" i="35"/>
  <c r="L32" i="35"/>
  <c r="K33" i="35"/>
  <c r="L33" i="35"/>
  <c r="N33" i="35" s="1"/>
  <c r="K34" i="35"/>
  <c r="L34" i="35"/>
  <c r="K35" i="35"/>
  <c r="L35" i="35"/>
  <c r="N35" i="35" s="1"/>
  <c r="K36" i="35"/>
  <c r="L36" i="35"/>
  <c r="K37" i="35"/>
  <c r="L37" i="35"/>
  <c r="N37" i="35" s="1"/>
  <c r="K48" i="35"/>
  <c r="K49" i="35" s="1"/>
  <c r="L53" i="35"/>
  <c r="K54" i="35"/>
  <c r="L54" i="35"/>
  <c r="G55" i="35"/>
  <c r="H55" i="35"/>
  <c r="G56" i="35"/>
  <c r="H56" i="35"/>
  <c r="G57" i="35"/>
  <c r="H57" i="35"/>
  <c r="K55" i="35"/>
  <c r="L55" i="35"/>
  <c r="K56" i="35"/>
  <c r="L56" i="35"/>
  <c r="K57" i="35"/>
  <c r="L57" i="35"/>
  <c r="N59" i="35"/>
  <c r="O59" i="35"/>
  <c r="N58" i="35"/>
  <c r="O58" i="35"/>
  <c r="N57" i="35"/>
  <c r="O57" i="35"/>
  <c r="N56" i="35"/>
  <c r="O56" i="35"/>
  <c r="N55" i="35"/>
  <c r="O55" i="35"/>
  <c r="N54" i="35"/>
  <c r="O54" i="35"/>
  <c r="N53" i="35"/>
  <c r="O53" i="35"/>
  <c r="N46" i="35"/>
  <c r="O43" i="35"/>
  <c r="N43" i="35"/>
  <c r="O42" i="35"/>
  <c r="N42" i="35"/>
  <c r="O41" i="35"/>
  <c r="N41" i="35"/>
  <c r="O39" i="35"/>
  <c r="N39" i="35"/>
  <c r="O37" i="35"/>
  <c r="O36" i="35"/>
  <c r="N36" i="35"/>
  <c r="O35" i="35"/>
  <c r="O34" i="35"/>
  <c r="N34" i="35"/>
  <c r="O33" i="35"/>
  <c r="O32" i="35"/>
  <c r="N32" i="35"/>
  <c r="O31" i="35"/>
  <c r="O30" i="35"/>
  <c r="N30" i="35"/>
  <c r="O29" i="35"/>
  <c r="O27" i="35"/>
  <c r="N26" i="35"/>
  <c r="O26" i="35"/>
  <c r="O24" i="35"/>
  <c r="N23" i="35"/>
  <c r="O23" i="35"/>
  <c r="N22" i="35"/>
  <c r="O22" i="35"/>
  <c r="G58" i="34"/>
  <c r="H58" i="34"/>
  <c r="G59" i="34"/>
  <c r="H59" i="34"/>
  <c r="H39" i="34"/>
  <c r="G40" i="34"/>
  <c r="H40" i="34"/>
  <c r="G41" i="34"/>
  <c r="H41" i="34"/>
  <c r="G42" i="34"/>
  <c r="H42" i="34"/>
  <c r="G43" i="34"/>
  <c r="H43" i="34"/>
  <c r="G44" i="34"/>
  <c r="H44" i="34"/>
  <c r="G45" i="34"/>
  <c r="F45" i="34"/>
  <c r="H45" i="34"/>
  <c r="H46" i="34"/>
  <c r="H22" i="34"/>
  <c r="H23" i="34"/>
  <c r="H24" i="34"/>
  <c r="G26" i="34"/>
  <c r="H26" i="34"/>
  <c r="G27" i="34"/>
  <c r="H27" i="34"/>
  <c r="G28" i="34"/>
  <c r="G29" i="34"/>
  <c r="H29" i="34"/>
  <c r="G30" i="34"/>
  <c r="H30" i="34"/>
  <c r="G31" i="34"/>
  <c r="H31" i="34"/>
  <c r="G32" i="34"/>
  <c r="H32" i="34"/>
  <c r="G33" i="34"/>
  <c r="H33" i="34"/>
  <c r="G34" i="34"/>
  <c r="H34" i="34"/>
  <c r="G35" i="34"/>
  <c r="H35" i="34"/>
  <c r="G36" i="34"/>
  <c r="H36" i="34"/>
  <c r="G37" i="34"/>
  <c r="H37" i="34"/>
  <c r="G48" i="34"/>
  <c r="H48" i="34"/>
  <c r="G49" i="34"/>
  <c r="H49" i="34"/>
  <c r="G51" i="34"/>
  <c r="H51" i="34"/>
  <c r="G52" i="34"/>
  <c r="H52" i="34"/>
  <c r="H53" i="34"/>
  <c r="G54" i="34"/>
  <c r="H54" i="34"/>
  <c r="K58" i="34"/>
  <c r="L58" i="34"/>
  <c r="K59" i="34"/>
  <c r="L59" i="34"/>
  <c r="L39" i="34"/>
  <c r="N39" i="34" s="1"/>
  <c r="K40" i="34"/>
  <c r="K41" i="34"/>
  <c r="L41" i="34"/>
  <c r="K42" i="34"/>
  <c r="L42" i="34"/>
  <c r="K43" i="34"/>
  <c r="L43" i="34"/>
  <c r="K44" i="34"/>
  <c r="K45" i="34"/>
  <c r="L45" i="34" s="1"/>
  <c r="N45" i="34" s="1"/>
  <c r="O45" i="34" s="1"/>
  <c r="J45" i="34"/>
  <c r="L46" i="34"/>
  <c r="L22" i="34"/>
  <c r="L23" i="34"/>
  <c r="J24" i="34"/>
  <c r="L24" i="34" s="1"/>
  <c r="N24" i="34" s="1"/>
  <c r="K26" i="34"/>
  <c r="L26" i="34"/>
  <c r="K27" i="34"/>
  <c r="K28" i="34"/>
  <c r="K29" i="34"/>
  <c r="L29" i="34"/>
  <c r="K30" i="34"/>
  <c r="L30" i="34"/>
  <c r="N30" i="34" s="1"/>
  <c r="K31" i="34"/>
  <c r="L31" i="34"/>
  <c r="K32" i="34"/>
  <c r="L32" i="34"/>
  <c r="N32" i="34" s="1"/>
  <c r="K33" i="34"/>
  <c r="L33" i="34"/>
  <c r="K34" i="34"/>
  <c r="L34" i="34"/>
  <c r="N34" i="34" s="1"/>
  <c r="K35" i="34"/>
  <c r="L35" i="34"/>
  <c r="K36" i="34"/>
  <c r="L36" i="34"/>
  <c r="N36" i="34" s="1"/>
  <c r="K37" i="34"/>
  <c r="L37" i="34"/>
  <c r="K48" i="34"/>
  <c r="K49" i="34" s="1"/>
  <c r="L53" i="34"/>
  <c r="K54" i="34"/>
  <c r="L54" i="34"/>
  <c r="G55" i="34"/>
  <c r="H55" i="34"/>
  <c r="G56" i="34"/>
  <c r="H56" i="34"/>
  <c r="G57" i="34"/>
  <c r="H57" i="34"/>
  <c r="K55" i="34"/>
  <c r="L55" i="34"/>
  <c r="K56" i="34"/>
  <c r="L56" i="34"/>
  <c r="K57" i="34"/>
  <c r="L57" i="34"/>
  <c r="N59" i="34"/>
  <c r="O59" i="34"/>
  <c r="N58" i="34"/>
  <c r="O58" i="34"/>
  <c r="N57" i="34"/>
  <c r="O57" i="34"/>
  <c r="N56" i="34"/>
  <c r="O56" i="34"/>
  <c r="N55" i="34"/>
  <c r="O55" i="34"/>
  <c r="N54" i="34"/>
  <c r="O54" i="34"/>
  <c r="N53" i="34"/>
  <c r="O53" i="34"/>
  <c r="N46" i="34"/>
  <c r="O43" i="34"/>
  <c r="N43" i="34"/>
  <c r="O42" i="34"/>
  <c r="N42" i="34"/>
  <c r="O41" i="34"/>
  <c r="N41" i="34"/>
  <c r="O39" i="34"/>
  <c r="O37" i="34"/>
  <c r="N37" i="34"/>
  <c r="O36" i="34"/>
  <c r="O35" i="34"/>
  <c r="N35" i="34"/>
  <c r="O34" i="34"/>
  <c r="O33" i="34"/>
  <c r="N33" i="34"/>
  <c r="O32" i="34"/>
  <c r="O31" i="34"/>
  <c r="N31" i="34"/>
  <c r="O30" i="34"/>
  <c r="O29" i="34"/>
  <c r="N29" i="34"/>
  <c r="O27" i="34"/>
  <c r="N26" i="34"/>
  <c r="O26" i="34"/>
  <c r="O24" i="34"/>
  <c r="N23" i="34"/>
  <c r="O23" i="34"/>
  <c r="N22" i="34"/>
  <c r="O22" i="34"/>
  <c r="G58" i="33"/>
  <c r="H58" i="33"/>
  <c r="G59" i="33"/>
  <c r="H59" i="33"/>
  <c r="H39" i="33"/>
  <c r="G40" i="33"/>
  <c r="H40" i="33"/>
  <c r="G41" i="33"/>
  <c r="H41" i="33"/>
  <c r="G42" i="33"/>
  <c r="H42" i="33"/>
  <c r="G43" i="33"/>
  <c r="H43" i="33"/>
  <c r="G44" i="33"/>
  <c r="H44" i="33"/>
  <c r="G45" i="33"/>
  <c r="F45" i="33"/>
  <c r="H45" i="33"/>
  <c r="H46" i="33"/>
  <c r="H22" i="33"/>
  <c r="H23" i="33"/>
  <c r="H24" i="33"/>
  <c r="G26" i="33"/>
  <c r="H26" i="33"/>
  <c r="G27" i="33"/>
  <c r="H27" i="33"/>
  <c r="G28" i="33"/>
  <c r="G29" i="33"/>
  <c r="H29" i="33"/>
  <c r="G30" i="33"/>
  <c r="H30" i="33"/>
  <c r="G31" i="33"/>
  <c r="H31" i="33"/>
  <c r="G32" i="33"/>
  <c r="H32" i="33"/>
  <c r="G33" i="33"/>
  <c r="H33" i="33"/>
  <c r="G34" i="33"/>
  <c r="H34" i="33"/>
  <c r="G35" i="33"/>
  <c r="H35" i="33"/>
  <c r="G36" i="33"/>
  <c r="H36" i="33"/>
  <c r="G37" i="33"/>
  <c r="H37" i="33"/>
  <c r="G48" i="33"/>
  <c r="H48" i="33"/>
  <c r="G49" i="33"/>
  <c r="H49" i="33"/>
  <c r="G51" i="33"/>
  <c r="H51" i="33"/>
  <c r="G52" i="33"/>
  <c r="H52" i="33"/>
  <c r="H53" i="33"/>
  <c r="G54" i="33"/>
  <c r="H54" i="33"/>
  <c r="K58" i="33"/>
  <c r="L58" i="33"/>
  <c r="K59" i="33"/>
  <c r="L59" i="33"/>
  <c r="L39" i="33"/>
  <c r="K40" i="33"/>
  <c r="K41" i="33"/>
  <c r="L41" i="33"/>
  <c r="K42" i="33"/>
  <c r="L42" i="33"/>
  <c r="K43" i="33"/>
  <c r="L43" i="33"/>
  <c r="K44" i="33"/>
  <c r="K45" i="33"/>
  <c r="L45" i="33" s="1"/>
  <c r="N45" i="33" s="1"/>
  <c r="O45" i="33" s="1"/>
  <c r="J45" i="33"/>
  <c r="L46" i="33"/>
  <c r="L22" i="33"/>
  <c r="L23" i="33"/>
  <c r="J24" i="33"/>
  <c r="L24" i="33" s="1"/>
  <c r="N24" i="33" s="1"/>
  <c r="K26" i="33"/>
  <c r="L26" i="33"/>
  <c r="K27" i="33"/>
  <c r="K28" i="33"/>
  <c r="K29" i="33"/>
  <c r="L29" i="33"/>
  <c r="K30" i="33"/>
  <c r="L30" i="33"/>
  <c r="N30" i="33" s="1"/>
  <c r="K31" i="33"/>
  <c r="L31" i="33"/>
  <c r="K32" i="33"/>
  <c r="L32" i="33"/>
  <c r="N32" i="33" s="1"/>
  <c r="K33" i="33"/>
  <c r="L33" i="33"/>
  <c r="K34" i="33"/>
  <c r="L34" i="33"/>
  <c r="N34" i="33" s="1"/>
  <c r="K35" i="33"/>
  <c r="L35" i="33"/>
  <c r="K36" i="33"/>
  <c r="L36" i="33"/>
  <c r="N36" i="33" s="1"/>
  <c r="K37" i="33"/>
  <c r="L37" i="33"/>
  <c r="K48" i="33"/>
  <c r="K49" i="33" s="1"/>
  <c r="L48" i="33"/>
  <c r="N48" i="33" s="1"/>
  <c r="O48" i="33" s="1"/>
  <c r="L53" i="33"/>
  <c r="K54" i="33"/>
  <c r="L54" i="33"/>
  <c r="G55" i="33"/>
  <c r="H55" i="33"/>
  <c r="G56" i="33"/>
  <c r="H56" i="33"/>
  <c r="G57" i="33"/>
  <c r="H57" i="33"/>
  <c r="K55" i="33"/>
  <c r="L55" i="33"/>
  <c r="K56" i="33"/>
  <c r="L56" i="33"/>
  <c r="K57" i="33"/>
  <c r="L57" i="33"/>
  <c r="N59" i="33"/>
  <c r="O59" i="33"/>
  <c r="N58" i="33"/>
  <c r="O58" i="33"/>
  <c r="N57" i="33"/>
  <c r="O57" i="33"/>
  <c r="N56" i="33"/>
  <c r="O56" i="33"/>
  <c r="N55" i="33"/>
  <c r="O55" i="33"/>
  <c r="N54" i="33"/>
  <c r="O54" i="33"/>
  <c r="N53" i="33"/>
  <c r="O53" i="33"/>
  <c r="N46" i="33"/>
  <c r="O43" i="33"/>
  <c r="N43" i="33"/>
  <c r="O42" i="33"/>
  <c r="N42" i="33"/>
  <c r="O41" i="33"/>
  <c r="N41" i="33"/>
  <c r="O39" i="33"/>
  <c r="N39" i="33"/>
  <c r="O37" i="33"/>
  <c r="N37" i="33"/>
  <c r="O36" i="33"/>
  <c r="O35" i="33"/>
  <c r="N35" i="33"/>
  <c r="O34" i="33"/>
  <c r="O33" i="33"/>
  <c r="N33" i="33"/>
  <c r="O32" i="33"/>
  <c r="O31" i="33"/>
  <c r="N31" i="33"/>
  <c r="O30" i="33"/>
  <c r="O29" i="33"/>
  <c r="N29" i="33"/>
  <c r="O27" i="33"/>
  <c r="N26" i="33"/>
  <c r="O26" i="33"/>
  <c r="O24" i="33"/>
  <c r="N23" i="33"/>
  <c r="O23" i="33"/>
  <c r="N22" i="33"/>
  <c r="O22" i="33"/>
  <c r="G58" i="32"/>
  <c r="H58" i="32"/>
  <c r="G59" i="32"/>
  <c r="H59" i="32"/>
  <c r="H39" i="32"/>
  <c r="G40" i="32"/>
  <c r="H40" i="32"/>
  <c r="G41" i="32"/>
  <c r="H41" i="32"/>
  <c r="G42" i="32"/>
  <c r="H42" i="32"/>
  <c r="G43" i="32"/>
  <c r="H43" i="32"/>
  <c r="G44" i="32"/>
  <c r="H44" i="32"/>
  <c r="G45" i="32"/>
  <c r="F45" i="32"/>
  <c r="H45" i="32"/>
  <c r="H46" i="32"/>
  <c r="H22" i="32"/>
  <c r="H23" i="32"/>
  <c r="H24" i="32"/>
  <c r="G26" i="32"/>
  <c r="H26" i="32"/>
  <c r="G27" i="32"/>
  <c r="H27" i="32"/>
  <c r="G28" i="32"/>
  <c r="G29" i="32"/>
  <c r="H29" i="32"/>
  <c r="G30" i="32"/>
  <c r="H30" i="32"/>
  <c r="G31" i="32"/>
  <c r="H31" i="32"/>
  <c r="G32" i="32"/>
  <c r="H32" i="32"/>
  <c r="G33" i="32"/>
  <c r="H33" i="32"/>
  <c r="G34" i="32"/>
  <c r="H34" i="32"/>
  <c r="G35" i="32"/>
  <c r="H35" i="32"/>
  <c r="G36" i="32"/>
  <c r="H36" i="32"/>
  <c r="G37" i="32"/>
  <c r="H37" i="32"/>
  <c r="G48" i="32"/>
  <c r="H48" i="32"/>
  <c r="G49" i="32"/>
  <c r="H49" i="32"/>
  <c r="G51" i="32"/>
  <c r="H51" i="32"/>
  <c r="G52" i="32"/>
  <c r="H52" i="32"/>
  <c r="H53" i="32"/>
  <c r="G54" i="32"/>
  <c r="H54" i="32"/>
  <c r="K58" i="32"/>
  <c r="L58" i="32"/>
  <c r="K59" i="32"/>
  <c r="L59" i="32"/>
  <c r="L39" i="32"/>
  <c r="K40" i="32"/>
  <c r="K41" i="32"/>
  <c r="L41" i="32"/>
  <c r="K42" i="32"/>
  <c r="L42" i="32"/>
  <c r="K43" i="32"/>
  <c r="L43" i="32"/>
  <c r="K44" i="32"/>
  <c r="K45" i="32"/>
  <c r="L45" i="32" s="1"/>
  <c r="N45" i="32" s="1"/>
  <c r="O45" i="32" s="1"/>
  <c r="J45" i="32"/>
  <c r="L46" i="32"/>
  <c r="L22" i="32"/>
  <c r="L23" i="32"/>
  <c r="J24" i="32"/>
  <c r="L24" i="32" s="1"/>
  <c r="N24" i="32" s="1"/>
  <c r="K26" i="32"/>
  <c r="L26" i="32"/>
  <c r="K27" i="32"/>
  <c r="K28" i="32"/>
  <c r="K29" i="32"/>
  <c r="L29" i="32"/>
  <c r="N29" i="32" s="1"/>
  <c r="K30" i="32"/>
  <c r="L30" i="32"/>
  <c r="N30" i="32" s="1"/>
  <c r="K31" i="32"/>
  <c r="L31" i="32"/>
  <c r="N31" i="32" s="1"/>
  <c r="K32" i="32"/>
  <c r="L32" i="32"/>
  <c r="N32" i="32" s="1"/>
  <c r="K33" i="32"/>
  <c r="L33" i="32"/>
  <c r="N33" i="32" s="1"/>
  <c r="K34" i="32"/>
  <c r="L34" i="32"/>
  <c r="N34" i="32" s="1"/>
  <c r="K35" i="32"/>
  <c r="L35" i="32"/>
  <c r="N35" i="32" s="1"/>
  <c r="K36" i="32"/>
  <c r="L36" i="32"/>
  <c r="N36" i="32" s="1"/>
  <c r="K37" i="32"/>
  <c r="L37" i="32"/>
  <c r="N37" i="32" s="1"/>
  <c r="K48" i="32"/>
  <c r="L48" i="32" s="1"/>
  <c r="N48" i="32" s="1"/>
  <c r="O48" i="32" s="1"/>
  <c r="K49" i="32"/>
  <c r="L49" i="32" s="1"/>
  <c r="N49" i="32" s="1"/>
  <c r="O49" i="32" s="1"/>
  <c r="K52" i="32"/>
  <c r="L52" i="32" s="1"/>
  <c r="N52" i="32" s="1"/>
  <c r="O52" i="32" s="1"/>
  <c r="L53" i="32"/>
  <c r="K54" i="32"/>
  <c r="L54" i="32"/>
  <c r="G55" i="32"/>
  <c r="H55" i="32"/>
  <c r="G56" i="32"/>
  <c r="H56" i="32"/>
  <c r="G57" i="32"/>
  <c r="H57" i="32"/>
  <c r="K55" i="32"/>
  <c r="L55" i="32"/>
  <c r="K56" i="32"/>
  <c r="L56" i="32"/>
  <c r="K57" i="32"/>
  <c r="L57" i="32"/>
  <c r="N59" i="32"/>
  <c r="O59" i="32"/>
  <c r="N58" i="32"/>
  <c r="O58" i="32"/>
  <c r="N57" i="32"/>
  <c r="O57" i="32"/>
  <c r="N56" i="32"/>
  <c r="O56" i="32"/>
  <c r="N55" i="32"/>
  <c r="O55" i="32"/>
  <c r="N54" i="32"/>
  <c r="O54" i="32"/>
  <c r="N53" i="32"/>
  <c r="O53" i="32"/>
  <c r="N46" i="32"/>
  <c r="O43" i="32"/>
  <c r="N43" i="32"/>
  <c r="O42" i="32"/>
  <c r="N42" i="32"/>
  <c r="O41" i="32"/>
  <c r="N41" i="32"/>
  <c r="O39" i="32"/>
  <c r="N39" i="32"/>
  <c r="O37" i="32"/>
  <c r="O36" i="32"/>
  <c r="O35" i="32"/>
  <c r="O34" i="32"/>
  <c r="O33" i="32"/>
  <c r="O32" i="32"/>
  <c r="O31" i="32"/>
  <c r="O30" i="32"/>
  <c r="O29" i="32"/>
  <c r="O27" i="32"/>
  <c r="N26" i="32"/>
  <c r="O26" i="32"/>
  <c r="O24" i="32"/>
  <c r="N23" i="32"/>
  <c r="O23" i="32"/>
  <c r="N22" i="32"/>
  <c r="O22" i="32"/>
  <c r="J24" i="8"/>
  <c r="L24" i="8" s="1"/>
  <c r="N24" i="8" s="1"/>
  <c r="G58" i="31"/>
  <c r="H58" i="31"/>
  <c r="G59" i="31"/>
  <c r="H59" i="31"/>
  <c r="H39" i="31"/>
  <c r="G40" i="31"/>
  <c r="H40" i="31"/>
  <c r="G41" i="31"/>
  <c r="H41" i="31"/>
  <c r="G42" i="31"/>
  <c r="H42" i="31"/>
  <c r="G43" i="31"/>
  <c r="H43" i="31"/>
  <c r="G44" i="31"/>
  <c r="H44" i="31"/>
  <c r="G45" i="31"/>
  <c r="F45" i="31"/>
  <c r="H45" i="31"/>
  <c r="H46" i="31"/>
  <c r="H22" i="31"/>
  <c r="H23" i="31"/>
  <c r="H24" i="31"/>
  <c r="G26" i="31"/>
  <c r="H26" i="31"/>
  <c r="G27" i="31"/>
  <c r="H27" i="31"/>
  <c r="G28" i="31"/>
  <c r="G29" i="31"/>
  <c r="H29" i="31"/>
  <c r="G30" i="31"/>
  <c r="H30" i="31"/>
  <c r="G31" i="31"/>
  <c r="H31" i="31"/>
  <c r="G32" i="31"/>
  <c r="H32" i="31"/>
  <c r="G33" i="31"/>
  <c r="H33" i="31"/>
  <c r="G34" i="31"/>
  <c r="H34" i="31"/>
  <c r="G35" i="31"/>
  <c r="H35" i="31"/>
  <c r="G36" i="31"/>
  <c r="H36" i="31"/>
  <c r="G37" i="31"/>
  <c r="H37" i="31"/>
  <c r="G48" i="31"/>
  <c r="H48" i="31"/>
  <c r="G49" i="31"/>
  <c r="H49" i="31"/>
  <c r="G51" i="31"/>
  <c r="H51" i="31"/>
  <c r="G52" i="31"/>
  <c r="H52" i="31"/>
  <c r="H53" i="31"/>
  <c r="G54" i="31"/>
  <c r="H54" i="31"/>
  <c r="K58" i="31"/>
  <c r="L58" i="31"/>
  <c r="K59" i="31"/>
  <c r="L59" i="31"/>
  <c r="L39" i="31"/>
  <c r="K40" i="31"/>
  <c r="K41" i="31"/>
  <c r="L41" i="31"/>
  <c r="K42" i="31"/>
  <c r="L42" i="31"/>
  <c r="K43" i="31"/>
  <c r="L43" i="31"/>
  <c r="K44" i="31"/>
  <c r="K45" i="31"/>
  <c r="L45" i="31" s="1"/>
  <c r="N45" i="31" s="1"/>
  <c r="O45" i="31" s="1"/>
  <c r="J45" i="31"/>
  <c r="L46" i="31"/>
  <c r="L22" i="31"/>
  <c r="L23" i="31"/>
  <c r="K26" i="31"/>
  <c r="L26" i="31"/>
  <c r="K27" i="31"/>
  <c r="K28" i="31"/>
  <c r="K29" i="31"/>
  <c r="L29" i="31"/>
  <c r="N29" i="31" s="1"/>
  <c r="K30" i="31"/>
  <c r="L30" i="31"/>
  <c r="K31" i="31"/>
  <c r="L31" i="31"/>
  <c r="N31" i="31" s="1"/>
  <c r="K32" i="31"/>
  <c r="L32" i="31"/>
  <c r="K33" i="31"/>
  <c r="L33" i="31"/>
  <c r="N33" i="31" s="1"/>
  <c r="K34" i="31"/>
  <c r="L34" i="31"/>
  <c r="K35" i="31"/>
  <c r="L35" i="31"/>
  <c r="N35" i="31" s="1"/>
  <c r="K36" i="31"/>
  <c r="L36" i="31"/>
  <c r="K37" i="31"/>
  <c r="L37" i="31"/>
  <c r="N37" i="31" s="1"/>
  <c r="K48" i="31"/>
  <c r="L48" i="31" s="1"/>
  <c r="N48" i="31" s="1"/>
  <c r="O48" i="31" s="1"/>
  <c r="L53" i="31"/>
  <c r="K54" i="31"/>
  <c r="L54" i="31"/>
  <c r="G55" i="31"/>
  <c r="H55" i="31"/>
  <c r="G56" i="31"/>
  <c r="H56" i="31"/>
  <c r="G57" i="31"/>
  <c r="H57" i="31"/>
  <c r="K55" i="31"/>
  <c r="L55" i="31"/>
  <c r="K56" i="31"/>
  <c r="L56" i="31"/>
  <c r="K57" i="31"/>
  <c r="L57" i="31"/>
  <c r="N59" i="31"/>
  <c r="O59" i="31"/>
  <c r="N58" i="31"/>
  <c r="O58" i="31"/>
  <c r="N57" i="31"/>
  <c r="O57" i="31"/>
  <c r="N56" i="31"/>
  <c r="O56" i="31"/>
  <c r="N55" i="31"/>
  <c r="O55" i="31"/>
  <c r="N54" i="31"/>
  <c r="O54" i="31"/>
  <c r="N53" i="31"/>
  <c r="O53" i="31"/>
  <c r="N46" i="31"/>
  <c r="O43" i="31"/>
  <c r="N43" i="31"/>
  <c r="O42" i="31"/>
  <c r="N42" i="31"/>
  <c r="O41" i="31"/>
  <c r="N41" i="31"/>
  <c r="O39" i="31"/>
  <c r="N39" i="31"/>
  <c r="O37" i="31"/>
  <c r="O36" i="31"/>
  <c r="N36" i="31"/>
  <c r="O35" i="31"/>
  <c r="O34" i="31"/>
  <c r="N34" i="31"/>
  <c r="O33" i="31"/>
  <c r="O32" i="31"/>
  <c r="N32" i="31"/>
  <c r="O31" i="31"/>
  <c r="O30" i="31"/>
  <c r="N30" i="31"/>
  <c r="O29" i="31"/>
  <c r="O27" i="31"/>
  <c r="N26" i="31"/>
  <c r="O26" i="31"/>
  <c r="O24" i="31"/>
  <c r="N23" i="31"/>
  <c r="O23" i="31"/>
  <c r="N22" i="31"/>
  <c r="O22" i="31"/>
  <c r="G58" i="30"/>
  <c r="H58" i="30"/>
  <c r="G59" i="30"/>
  <c r="H59" i="30"/>
  <c r="H39" i="30"/>
  <c r="G40" i="30"/>
  <c r="H40" i="30"/>
  <c r="G41" i="30"/>
  <c r="H41" i="30"/>
  <c r="G42" i="30"/>
  <c r="H42" i="30"/>
  <c r="G43" i="30"/>
  <c r="H43" i="30"/>
  <c r="G44" i="30"/>
  <c r="H44" i="30"/>
  <c r="G45" i="30"/>
  <c r="F45" i="30"/>
  <c r="H45" i="30"/>
  <c r="H46" i="30"/>
  <c r="H22" i="30"/>
  <c r="H23" i="30"/>
  <c r="H24" i="30"/>
  <c r="G26" i="30"/>
  <c r="H26" i="30"/>
  <c r="G27" i="30"/>
  <c r="H27" i="30"/>
  <c r="G28" i="30"/>
  <c r="G29" i="30"/>
  <c r="H29" i="30"/>
  <c r="G30" i="30"/>
  <c r="H30" i="30"/>
  <c r="G31" i="30"/>
  <c r="H31" i="30"/>
  <c r="G32" i="30"/>
  <c r="H32" i="30"/>
  <c r="G33" i="30"/>
  <c r="H33" i="30"/>
  <c r="G34" i="30"/>
  <c r="H34" i="30"/>
  <c r="G35" i="30"/>
  <c r="H35" i="30"/>
  <c r="G36" i="30"/>
  <c r="H36" i="30"/>
  <c r="G37" i="30"/>
  <c r="H37" i="30"/>
  <c r="G48" i="30"/>
  <c r="H48" i="30"/>
  <c r="G49" i="30"/>
  <c r="H49" i="30"/>
  <c r="G51" i="30"/>
  <c r="H51" i="30"/>
  <c r="G52" i="30"/>
  <c r="H52" i="30"/>
  <c r="H53" i="30"/>
  <c r="G54" i="30"/>
  <c r="H54" i="30"/>
  <c r="K58" i="30"/>
  <c r="L58" i="30"/>
  <c r="K59" i="30"/>
  <c r="L59" i="30"/>
  <c r="L39" i="30"/>
  <c r="N39" i="30" s="1"/>
  <c r="K40" i="30"/>
  <c r="K41" i="30"/>
  <c r="L41" i="30"/>
  <c r="K42" i="30"/>
  <c r="L42" i="30"/>
  <c r="K43" i="30"/>
  <c r="L43" i="30"/>
  <c r="K44" i="30"/>
  <c r="K45" i="30"/>
  <c r="L45" i="30" s="1"/>
  <c r="N45" i="30" s="1"/>
  <c r="O45" i="30" s="1"/>
  <c r="J45" i="30"/>
  <c r="L46" i="30"/>
  <c r="L22" i="30"/>
  <c r="L23" i="30"/>
  <c r="K26" i="30"/>
  <c r="L26" i="30"/>
  <c r="K27" i="30"/>
  <c r="K28" i="30"/>
  <c r="K29" i="30"/>
  <c r="L29" i="30"/>
  <c r="K30" i="30"/>
  <c r="L30" i="30"/>
  <c r="N30" i="30" s="1"/>
  <c r="K31" i="30"/>
  <c r="L31" i="30"/>
  <c r="K32" i="30"/>
  <c r="L32" i="30"/>
  <c r="N32" i="30" s="1"/>
  <c r="K33" i="30"/>
  <c r="L33" i="30"/>
  <c r="K34" i="30"/>
  <c r="L34" i="30"/>
  <c r="N34" i="30" s="1"/>
  <c r="K35" i="30"/>
  <c r="L35" i="30"/>
  <c r="K36" i="30"/>
  <c r="L36" i="30"/>
  <c r="N36" i="30" s="1"/>
  <c r="K37" i="30"/>
  <c r="L37" i="30"/>
  <c r="K48" i="30"/>
  <c r="L48" i="30" s="1"/>
  <c r="N48" i="30" s="1"/>
  <c r="O48" i="30" s="1"/>
  <c r="L53" i="30"/>
  <c r="K54" i="30"/>
  <c r="L54" i="30"/>
  <c r="G55" i="30"/>
  <c r="H55" i="30"/>
  <c r="G56" i="30"/>
  <c r="H56" i="30"/>
  <c r="G57" i="30"/>
  <c r="H57" i="30"/>
  <c r="K55" i="30"/>
  <c r="L55" i="30"/>
  <c r="K56" i="30"/>
  <c r="L56" i="30"/>
  <c r="K57" i="30"/>
  <c r="L57" i="30"/>
  <c r="N59" i="30"/>
  <c r="O59" i="30"/>
  <c r="N58" i="30"/>
  <c r="O58" i="30"/>
  <c r="N57" i="30"/>
  <c r="O57" i="30"/>
  <c r="N56" i="30"/>
  <c r="O56" i="30"/>
  <c r="N55" i="30"/>
  <c r="O55" i="30"/>
  <c r="N54" i="30"/>
  <c r="O54" i="30"/>
  <c r="N53" i="30"/>
  <c r="O53" i="30"/>
  <c r="N46" i="30"/>
  <c r="O43" i="30"/>
  <c r="N43" i="30"/>
  <c r="O42" i="30"/>
  <c r="N42" i="30"/>
  <c r="O41" i="30"/>
  <c r="N41" i="30"/>
  <c r="O39" i="30"/>
  <c r="O37" i="30"/>
  <c r="N37" i="30"/>
  <c r="O36" i="30"/>
  <c r="O35" i="30"/>
  <c r="N35" i="30"/>
  <c r="O34" i="30"/>
  <c r="O33" i="30"/>
  <c r="N33" i="30"/>
  <c r="O32" i="30"/>
  <c r="O31" i="30"/>
  <c r="N31" i="30"/>
  <c r="O30" i="30"/>
  <c r="O29" i="30"/>
  <c r="N29" i="30"/>
  <c r="O27" i="30"/>
  <c r="N26" i="30"/>
  <c r="O26" i="30"/>
  <c r="O24" i="30"/>
  <c r="N23" i="30"/>
  <c r="O23" i="30"/>
  <c r="N22" i="30"/>
  <c r="O22" i="30"/>
  <c r="G58" i="29"/>
  <c r="H58" i="29"/>
  <c r="G59" i="29"/>
  <c r="H59" i="29"/>
  <c r="H39" i="29"/>
  <c r="G40" i="29"/>
  <c r="H40" i="29"/>
  <c r="G41" i="29"/>
  <c r="H41" i="29"/>
  <c r="G42" i="29"/>
  <c r="H42" i="29"/>
  <c r="G43" i="29"/>
  <c r="H43" i="29"/>
  <c r="G44" i="29"/>
  <c r="H44" i="29"/>
  <c r="G45" i="29"/>
  <c r="F45" i="29"/>
  <c r="H45" i="29"/>
  <c r="H46" i="29"/>
  <c r="H22" i="29"/>
  <c r="H23" i="29"/>
  <c r="H24" i="29"/>
  <c r="G26" i="29"/>
  <c r="H26" i="29"/>
  <c r="G27" i="29"/>
  <c r="H27" i="29"/>
  <c r="G28" i="29"/>
  <c r="G29" i="29"/>
  <c r="H29" i="29"/>
  <c r="G30" i="29"/>
  <c r="H30" i="29"/>
  <c r="G31" i="29"/>
  <c r="H31" i="29"/>
  <c r="G32" i="29"/>
  <c r="H32" i="29"/>
  <c r="G33" i="29"/>
  <c r="H33" i="29"/>
  <c r="G34" i="29"/>
  <c r="H34" i="29"/>
  <c r="G35" i="29"/>
  <c r="H35" i="29"/>
  <c r="G36" i="29"/>
  <c r="H36" i="29"/>
  <c r="G37" i="29"/>
  <c r="H37" i="29"/>
  <c r="G48" i="29"/>
  <c r="H48" i="29"/>
  <c r="G49" i="29"/>
  <c r="H49" i="29"/>
  <c r="G51" i="29"/>
  <c r="H51" i="29"/>
  <c r="G52" i="29"/>
  <c r="H52" i="29"/>
  <c r="H53" i="29"/>
  <c r="G54" i="29"/>
  <c r="H54" i="29"/>
  <c r="K58" i="29"/>
  <c r="L58" i="29"/>
  <c r="K59" i="29"/>
  <c r="L59" i="29"/>
  <c r="L39" i="29"/>
  <c r="K40" i="29"/>
  <c r="K41" i="29"/>
  <c r="L41" i="29"/>
  <c r="K42" i="29"/>
  <c r="L42" i="29"/>
  <c r="K43" i="29"/>
  <c r="L43" i="29"/>
  <c r="K44" i="29"/>
  <c r="K45" i="29"/>
  <c r="L45" i="29" s="1"/>
  <c r="N45" i="29" s="1"/>
  <c r="O45" i="29" s="1"/>
  <c r="J45" i="29"/>
  <c r="L46" i="29"/>
  <c r="L22" i="29"/>
  <c r="L23" i="29"/>
  <c r="K26" i="29"/>
  <c r="L26" i="29"/>
  <c r="K27" i="29"/>
  <c r="K28" i="29"/>
  <c r="K29" i="29"/>
  <c r="L29" i="29"/>
  <c r="N29" i="29" s="1"/>
  <c r="K30" i="29"/>
  <c r="L30" i="29"/>
  <c r="K31" i="29"/>
  <c r="L31" i="29"/>
  <c r="N31" i="29" s="1"/>
  <c r="K32" i="29"/>
  <c r="L32" i="29"/>
  <c r="K33" i="29"/>
  <c r="L33" i="29"/>
  <c r="N33" i="29" s="1"/>
  <c r="K34" i="29"/>
  <c r="L34" i="29"/>
  <c r="K35" i="29"/>
  <c r="L35" i="29"/>
  <c r="N35" i="29" s="1"/>
  <c r="K36" i="29"/>
  <c r="L36" i="29"/>
  <c r="K37" i="29"/>
  <c r="L37" i="29"/>
  <c r="N37" i="29" s="1"/>
  <c r="K48" i="29"/>
  <c r="L48" i="29" s="1"/>
  <c r="N48" i="29" s="1"/>
  <c r="O48" i="29" s="1"/>
  <c r="L53" i="29"/>
  <c r="K54" i="29"/>
  <c r="L54" i="29"/>
  <c r="G55" i="29"/>
  <c r="H55" i="29"/>
  <c r="G56" i="29"/>
  <c r="H56" i="29"/>
  <c r="G57" i="29"/>
  <c r="H57" i="29"/>
  <c r="K55" i="29"/>
  <c r="L55" i="29"/>
  <c r="K56" i="29"/>
  <c r="L56" i="29"/>
  <c r="K57" i="29"/>
  <c r="L57" i="29"/>
  <c r="N59" i="29"/>
  <c r="O59" i="29"/>
  <c r="N58" i="29"/>
  <c r="O58" i="29"/>
  <c r="N57" i="29"/>
  <c r="O57" i="29"/>
  <c r="N56" i="29"/>
  <c r="O56" i="29"/>
  <c r="N55" i="29"/>
  <c r="O55" i="29"/>
  <c r="N54" i="29"/>
  <c r="O54" i="29"/>
  <c r="N53" i="29"/>
  <c r="O53" i="29"/>
  <c r="N46" i="29"/>
  <c r="O43" i="29"/>
  <c r="N43" i="29"/>
  <c r="O42" i="29"/>
  <c r="N42" i="29"/>
  <c r="O41" i="29"/>
  <c r="N41" i="29"/>
  <c r="O39" i="29"/>
  <c r="N39" i="29"/>
  <c r="O37" i="29"/>
  <c r="O36" i="29"/>
  <c r="N36" i="29"/>
  <c r="O35" i="29"/>
  <c r="O34" i="29"/>
  <c r="N34" i="29"/>
  <c r="O33" i="29"/>
  <c r="O32" i="29"/>
  <c r="N32" i="29"/>
  <c r="O31" i="29"/>
  <c r="O30" i="29"/>
  <c r="N30" i="29"/>
  <c r="O29" i="29"/>
  <c r="O27" i="29"/>
  <c r="N26" i="29"/>
  <c r="O26" i="29"/>
  <c r="O24" i="29"/>
  <c r="N23" i="29"/>
  <c r="O23" i="29"/>
  <c r="N22" i="29"/>
  <c r="O22" i="29"/>
  <c r="G58" i="28"/>
  <c r="H58" i="28"/>
  <c r="G59" i="28"/>
  <c r="H59" i="28"/>
  <c r="H39" i="28"/>
  <c r="G40" i="28"/>
  <c r="H40" i="28"/>
  <c r="G41" i="28"/>
  <c r="H41" i="28"/>
  <c r="G42" i="28"/>
  <c r="H42" i="28"/>
  <c r="G43" i="28"/>
  <c r="H43" i="28"/>
  <c r="G44" i="28"/>
  <c r="H44" i="28"/>
  <c r="G45" i="28"/>
  <c r="F45" i="28"/>
  <c r="H45" i="28"/>
  <c r="H46" i="28"/>
  <c r="H22" i="28"/>
  <c r="H23" i="28"/>
  <c r="H24" i="28"/>
  <c r="G26" i="28"/>
  <c r="H26" i="28"/>
  <c r="G27" i="28"/>
  <c r="H27" i="28"/>
  <c r="G28" i="28"/>
  <c r="G29" i="28"/>
  <c r="H29" i="28"/>
  <c r="G30" i="28"/>
  <c r="H30" i="28"/>
  <c r="G31" i="28"/>
  <c r="H31" i="28"/>
  <c r="G32" i="28"/>
  <c r="H32" i="28"/>
  <c r="G33" i="28"/>
  <c r="H33" i="28"/>
  <c r="G34" i="28"/>
  <c r="H34" i="28"/>
  <c r="G35" i="28"/>
  <c r="H35" i="28"/>
  <c r="G36" i="28"/>
  <c r="H36" i="28"/>
  <c r="G37" i="28"/>
  <c r="H37" i="28"/>
  <c r="G48" i="28"/>
  <c r="H48" i="28"/>
  <c r="G49" i="28"/>
  <c r="H49" i="28"/>
  <c r="G51" i="28"/>
  <c r="H51" i="28"/>
  <c r="G52" i="28"/>
  <c r="H52" i="28"/>
  <c r="H53" i="28"/>
  <c r="G54" i="28"/>
  <c r="H54" i="28"/>
  <c r="K58" i="28"/>
  <c r="L58" i="28"/>
  <c r="K59" i="28"/>
  <c r="L59" i="28"/>
  <c r="L39" i="28"/>
  <c r="K40" i="28"/>
  <c r="K41" i="28"/>
  <c r="L41" i="28"/>
  <c r="K42" i="28"/>
  <c r="L42" i="28"/>
  <c r="K43" i="28"/>
  <c r="L43" i="28"/>
  <c r="K44" i="28"/>
  <c r="K45" i="28"/>
  <c r="L45" i="28" s="1"/>
  <c r="N45" i="28" s="1"/>
  <c r="O45" i="28" s="1"/>
  <c r="J45" i="28"/>
  <c r="L46" i="28"/>
  <c r="L22" i="28"/>
  <c r="L23" i="28"/>
  <c r="K26" i="28"/>
  <c r="L26" i="28"/>
  <c r="K27" i="28"/>
  <c r="K28" i="28"/>
  <c r="K29" i="28"/>
  <c r="L29" i="28"/>
  <c r="K30" i="28"/>
  <c r="L30" i="28"/>
  <c r="K31" i="28"/>
  <c r="L31" i="28"/>
  <c r="K32" i="28"/>
  <c r="L32" i="28"/>
  <c r="K33" i="28"/>
  <c r="L33" i="28"/>
  <c r="K34" i="28"/>
  <c r="L34" i="28"/>
  <c r="K35" i="28"/>
  <c r="L35" i="28"/>
  <c r="K36" i="28"/>
  <c r="L36" i="28"/>
  <c r="K37" i="28"/>
  <c r="L37" i="28"/>
  <c r="K48" i="28"/>
  <c r="K49" i="28" s="1"/>
  <c r="L53" i="28"/>
  <c r="K54" i="28"/>
  <c r="L54" i="28"/>
  <c r="G55" i="28"/>
  <c r="H55" i="28"/>
  <c r="G56" i="28"/>
  <c r="H56" i="28"/>
  <c r="G57" i="28"/>
  <c r="H57" i="28"/>
  <c r="K55" i="28"/>
  <c r="L55" i="28"/>
  <c r="K56" i="28"/>
  <c r="L56" i="28"/>
  <c r="K57" i="28"/>
  <c r="L57" i="28"/>
  <c r="N59" i="28"/>
  <c r="O59" i="28"/>
  <c r="N58" i="28"/>
  <c r="O58" i="28"/>
  <c r="N57" i="28"/>
  <c r="O57" i="28"/>
  <c r="N56" i="28"/>
  <c r="O56" i="28"/>
  <c r="N55" i="28"/>
  <c r="O55" i="28"/>
  <c r="N54" i="28"/>
  <c r="O54" i="28"/>
  <c r="N53" i="28"/>
  <c r="O53" i="28"/>
  <c r="N46" i="28"/>
  <c r="O43" i="28"/>
  <c r="N43" i="28"/>
  <c r="O42" i="28"/>
  <c r="N42" i="28"/>
  <c r="O41" i="28"/>
  <c r="N41" i="28"/>
  <c r="O39" i="28"/>
  <c r="N39" i="28"/>
  <c r="O37" i="28"/>
  <c r="N37" i="28"/>
  <c r="O36" i="28"/>
  <c r="N36" i="28"/>
  <c r="O35" i="28"/>
  <c r="N35" i="28"/>
  <c r="O34" i="28"/>
  <c r="N34" i="28"/>
  <c r="O33" i="28"/>
  <c r="N33" i="28"/>
  <c r="O32" i="28"/>
  <c r="N32" i="28"/>
  <c r="O31" i="28"/>
  <c r="N31" i="28"/>
  <c r="O30" i="28"/>
  <c r="N30" i="28"/>
  <c r="O29" i="28"/>
  <c r="N29" i="28"/>
  <c r="N26" i="28"/>
  <c r="O26" i="28"/>
  <c r="O24" i="28"/>
  <c r="N23" i="28"/>
  <c r="O23" i="28"/>
  <c r="N22" i="28"/>
  <c r="O22" i="28"/>
  <c r="G58" i="27"/>
  <c r="H58" i="27"/>
  <c r="G59" i="27"/>
  <c r="H59" i="27"/>
  <c r="H39" i="27"/>
  <c r="G40" i="27"/>
  <c r="H40" i="27"/>
  <c r="G41" i="27"/>
  <c r="H41" i="27"/>
  <c r="G42" i="27"/>
  <c r="H42" i="27"/>
  <c r="G43" i="27"/>
  <c r="H43" i="27"/>
  <c r="G44" i="27"/>
  <c r="H44" i="27"/>
  <c r="G45" i="27"/>
  <c r="F45" i="27"/>
  <c r="H45" i="27"/>
  <c r="H46" i="27"/>
  <c r="H22" i="27"/>
  <c r="H23" i="27"/>
  <c r="H24" i="27"/>
  <c r="G26" i="27"/>
  <c r="H26" i="27"/>
  <c r="G27" i="27"/>
  <c r="H27" i="27"/>
  <c r="G28" i="27"/>
  <c r="G29" i="27"/>
  <c r="H29" i="27"/>
  <c r="G30" i="27"/>
  <c r="H30" i="27"/>
  <c r="G31" i="27"/>
  <c r="H31" i="27"/>
  <c r="G32" i="27"/>
  <c r="H32" i="27"/>
  <c r="G33" i="27"/>
  <c r="H33" i="27"/>
  <c r="G34" i="27"/>
  <c r="H34" i="27"/>
  <c r="G35" i="27"/>
  <c r="H35" i="27"/>
  <c r="G36" i="27"/>
  <c r="H36" i="27"/>
  <c r="G37" i="27"/>
  <c r="H37" i="27"/>
  <c r="G48" i="27"/>
  <c r="H48" i="27"/>
  <c r="G49" i="27"/>
  <c r="H49" i="27"/>
  <c r="G51" i="27"/>
  <c r="H51" i="27"/>
  <c r="G52" i="27"/>
  <c r="H52" i="27"/>
  <c r="H53" i="27"/>
  <c r="G54" i="27"/>
  <c r="H54" i="27"/>
  <c r="K58" i="27"/>
  <c r="L58" i="27"/>
  <c r="K59" i="27"/>
  <c r="L59" i="27"/>
  <c r="L39" i="27"/>
  <c r="K40" i="27"/>
  <c r="K41" i="27"/>
  <c r="L41" i="27"/>
  <c r="K42" i="27"/>
  <c r="L42" i="27"/>
  <c r="K43" i="27"/>
  <c r="L43" i="27"/>
  <c r="K44" i="27"/>
  <c r="K45" i="27"/>
  <c r="L45" i="27" s="1"/>
  <c r="N45" i="27" s="1"/>
  <c r="O45" i="27" s="1"/>
  <c r="J45" i="27"/>
  <c r="L46" i="27"/>
  <c r="L22" i="27"/>
  <c r="L23" i="27"/>
  <c r="K26" i="27"/>
  <c r="L26" i="27"/>
  <c r="K27" i="27"/>
  <c r="K28" i="27"/>
  <c r="K29" i="27"/>
  <c r="L29" i="27"/>
  <c r="N29" i="27" s="1"/>
  <c r="K30" i="27"/>
  <c r="L30" i="27"/>
  <c r="K31" i="27"/>
  <c r="L31" i="27"/>
  <c r="N31" i="27" s="1"/>
  <c r="K32" i="27"/>
  <c r="L32" i="27"/>
  <c r="K33" i="27"/>
  <c r="L33" i="27"/>
  <c r="N33" i="27" s="1"/>
  <c r="K34" i="27"/>
  <c r="L34" i="27"/>
  <c r="K35" i="27"/>
  <c r="L35" i="27"/>
  <c r="N35" i="27" s="1"/>
  <c r="K36" i="27"/>
  <c r="L36" i="27"/>
  <c r="K37" i="27"/>
  <c r="L37" i="27"/>
  <c r="N37" i="27" s="1"/>
  <c r="K48" i="27"/>
  <c r="K49" i="27" s="1"/>
  <c r="L53" i="27"/>
  <c r="K54" i="27"/>
  <c r="L54" i="27"/>
  <c r="G55" i="27"/>
  <c r="H55" i="27"/>
  <c r="G56" i="27"/>
  <c r="H56" i="27"/>
  <c r="G57" i="27"/>
  <c r="H57" i="27"/>
  <c r="K55" i="27"/>
  <c r="L55" i="27"/>
  <c r="K56" i="27"/>
  <c r="L56" i="27"/>
  <c r="K57" i="27"/>
  <c r="L57" i="27"/>
  <c r="O59" i="27"/>
  <c r="N59" i="27"/>
  <c r="N58" i="27"/>
  <c r="O58" i="27"/>
  <c r="N57" i="27"/>
  <c r="O57" i="27"/>
  <c r="N56" i="27"/>
  <c r="O56" i="27"/>
  <c r="N55" i="27"/>
  <c r="O55" i="27"/>
  <c r="N54" i="27"/>
  <c r="O54" i="27"/>
  <c r="N53" i="27"/>
  <c r="O53" i="27"/>
  <c r="N46" i="27"/>
  <c r="O43" i="27"/>
  <c r="N43" i="27"/>
  <c r="O42" i="27"/>
  <c r="N42" i="27"/>
  <c r="O41" i="27"/>
  <c r="N41" i="27"/>
  <c r="O39" i="27"/>
  <c r="N39" i="27"/>
  <c r="O37" i="27"/>
  <c r="O36" i="27"/>
  <c r="N36" i="27"/>
  <c r="O35" i="27"/>
  <c r="O34" i="27"/>
  <c r="N34" i="27"/>
  <c r="O33" i="27"/>
  <c r="O32" i="27"/>
  <c r="N32" i="27"/>
  <c r="O31" i="27"/>
  <c r="O30" i="27"/>
  <c r="N30" i="27"/>
  <c r="O29" i="27"/>
  <c r="O27" i="27"/>
  <c r="N26" i="27"/>
  <c r="O26" i="27"/>
  <c r="O24" i="27"/>
  <c r="N23" i="27"/>
  <c r="O23" i="27"/>
  <c r="N22" i="27"/>
  <c r="O22" i="27"/>
  <c r="G58" i="26"/>
  <c r="H58" i="26"/>
  <c r="G59" i="26"/>
  <c r="H59" i="26"/>
  <c r="H39" i="26"/>
  <c r="G40" i="26"/>
  <c r="H40" i="26"/>
  <c r="G41" i="26"/>
  <c r="H41" i="26"/>
  <c r="G42" i="26"/>
  <c r="H42" i="26"/>
  <c r="G43" i="26"/>
  <c r="H43" i="26"/>
  <c r="G44" i="26"/>
  <c r="H44" i="26"/>
  <c r="G45" i="26"/>
  <c r="F45" i="26"/>
  <c r="H45" i="26"/>
  <c r="H46" i="26"/>
  <c r="H22" i="26"/>
  <c r="H23" i="26"/>
  <c r="H24" i="26"/>
  <c r="G26" i="26"/>
  <c r="H26" i="26"/>
  <c r="G27" i="26"/>
  <c r="H27" i="26"/>
  <c r="G28" i="26"/>
  <c r="G29" i="26"/>
  <c r="H29" i="26"/>
  <c r="G30" i="26"/>
  <c r="H30" i="26"/>
  <c r="G31" i="26"/>
  <c r="H31" i="26"/>
  <c r="G32" i="26"/>
  <c r="H32" i="26"/>
  <c r="G33" i="26"/>
  <c r="H33" i="26"/>
  <c r="G34" i="26"/>
  <c r="H34" i="26"/>
  <c r="G35" i="26"/>
  <c r="H35" i="26"/>
  <c r="G36" i="26"/>
  <c r="H36" i="26"/>
  <c r="G37" i="26"/>
  <c r="H37" i="26"/>
  <c r="G48" i="26"/>
  <c r="H48" i="26"/>
  <c r="G49" i="26"/>
  <c r="H49" i="26"/>
  <c r="G51" i="26"/>
  <c r="H51" i="26"/>
  <c r="G52" i="26"/>
  <c r="H52" i="26"/>
  <c r="H53" i="26"/>
  <c r="G54" i="26"/>
  <c r="H54" i="26"/>
  <c r="K58" i="26"/>
  <c r="L58" i="26"/>
  <c r="K59" i="26"/>
  <c r="L59" i="26"/>
  <c r="L39" i="26"/>
  <c r="N39" i="26" s="1"/>
  <c r="K40" i="26"/>
  <c r="K41" i="26"/>
  <c r="L41" i="26"/>
  <c r="K42" i="26"/>
  <c r="L42" i="26"/>
  <c r="N42" i="26" s="1"/>
  <c r="K43" i="26"/>
  <c r="L43" i="26"/>
  <c r="K44" i="26"/>
  <c r="K45" i="26"/>
  <c r="L45" i="26" s="1"/>
  <c r="N45" i="26" s="1"/>
  <c r="O45" i="26" s="1"/>
  <c r="J45" i="26"/>
  <c r="L46" i="26"/>
  <c r="L22" i="26"/>
  <c r="L23" i="26"/>
  <c r="K26" i="26"/>
  <c r="L26" i="26"/>
  <c r="K27" i="26"/>
  <c r="K28" i="26"/>
  <c r="K29" i="26"/>
  <c r="L29" i="26"/>
  <c r="K30" i="26"/>
  <c r="L30" i="26"/>
  <c r="K31" i="26"/>
  <c r="L31" i="26"/>
  <c r="K32" i="26"/>
  <c r="L32" i="26"/>
  <c r="K33" i="26"/>
  <c r="L33" i="26"/>
  <c r="K34" i="26"/>
  <c r="L34" i="26"/>
  <c r="K35" i="26"/>
  <c r="L35" i="26"/>
  <c r="K36" i="26"/>
  <c r="L36" i="26"/>
  <c r="K37" i="26"/>
  <c r="L37" i="26"/>
  <c r="K48" i="26"/>
  <c r="L48" i="26" s="1"/>
  <c r="N48" i="26" s="1"/>
  <c r="O48" i="26" s="1"/>
  <c r="L53" i="26"/>
  <c r="K54" i="26"/>
  <c r="L54" i="26"/>
  <c r="G55" i="26"/>
  <c r="H55" i="26"/>
  <c r="G56" i="26"/>
  <c r="H56" i="26"/>
  <c r="G57" i="26"/>
  <c r="H57" i="26"/>
  <c r="K55" i="26"/>
  <c r="L55" i="26"/>
  <c r="K56" i="26"/>
  <c r="L56" i="26"/>
  <c r="K57" i="26"/>
  <c r="L57" i="26"/>
  <c r="O59" i="26"/>
  <c r="N59" i="26"/>
  <c r="N58" i="26"/>
  <c r="O58" i="26"/>
  <c r="N57" i="26"/>
  <c r="O57" i="26"/>
  <c r="N56" i="26"/>
  <c r="O56" i="26"/>
  <c r="N55" i="26"/>
  <c r="O55" i="26"/>
  <c r="N54" i="26"/>
  <c r="O54" i="26"/>
  <c r="N53" i="26"/>
  <c r="O53" i="26"/>
  <c r="N46" i="26"/>
  <c r="O43" i="26"/>
  <c r="N43" i="26"/>
  <c r="O42" i="26"/>
  <c r="O41" i="26"/>
  <c r="N41" i="26"/>
  <c r="O39" i="26"/>
  <c r="O37" i="26"/>
  <c r="N37" i="26"/>
  <c r="O36" i="26"/>
  <c r="N36" i="26"/>
  <c r="O35" i="26"/>
  <c r="N35" i="26"/>
  <c r="O34" i="26"/>
  <c r="N34" i="26"/>
  <c r="O33" i="26"/>
  <c r="N33" i="26"/>
  <c r="O32" i="26"/>
  <c r="N32" i="26"/>
  <c r="O31" i="26"/>
  <c r="N31" i="26"/>
  <c r="O30" i="26"/>
  <c r="N30" i="26"/>
  <c r="O29" i="26"/>
  <c r="N29" i="26"/>
  <c r="O27" i="26"/>
  <c r="N26" i="26"/>
  <c r="O26" i="26"/>
  <c r="O24" i="26"/>
  <c r="N23" i="26"/>
  <c r="O23" i="26"/>
  <c r="N22" i="26"/>
  <c r="O22" i="26"/>
  <c r="L47" i="25"/>
  <c r="L46" i="25"/>
  <c r="G53" i="25"/>
  <c r="H53" i="25"/>
  <c r="G27" i="25"/>
  <c r="G38" i="25"/>
  <c r="H38" i="25"/>
  <c r="G39" i="25"/>
  <c r="H39" i="25"/>
  <c r="G40" i="25"/>
  <c r="H40" i="25"/>
  <c r="G41" i="25"/>
  <c r="H41" i="25"/>
  <c r="G42" i="25"/>
  <c r="H42" i="25"/>
  <c r="G43" i="25"/>
  <c r="G57" i="25"/>
  <c r="F43" i="25"/>
  <c r="H43" i="25"/>
  <c r="H44" i="25"/>
  <c r="H22" i="25"/>
  <c r="H23" i="25"/>
  <c r="H24" i="25"/>
  <c r="G25" i="25"/>
  <c r="H25" i="25"/>
  <c r="G26" i="25"/>
  <c r="H26" i="25"/>
  <c r="G28" i="25"/>
  <c r="H28" i="25"/>
  <c r="G29" i="25"/>
  <c r="H29" i="25"/>
  <c r="G30" i="25"/>
  <c r="H30" i="25"/>
  <c r="G31" i="25"/>
  <c r="H31" i="25"/>
  <c r="G32" i="25"/>
  <c r="H32" i="25"/>
  <c r="G33" i="25"/>
  <c r="H33" i="25"/>
  <c r="G34" i="25"/>
  <c r="H34" i="25"/>
  <c r="G35" i="25"/>
  <c r="H35" i="25"/>
  <c r="G36" i="25"/>
  <c r="H36" i="25"/>
  <c r="H46" i="25"/>
  <c r="G47" i="25"/>
  <c r="H47" i="25" s="1"/>
  <c r="G49" i="25"/>
  <c r="H49" i="25"/>
  <c r="G50" i="25"/>
  <c r="H50" i="25"/>
  <c r="H51" i="25"/>
  <c r="G52" i="25"/>
  <c r="H52" i="25"/>
  <c r="K53" i="25"/>
  <c r="L53" i="25"/>
  <c r="K38" i="25"/>
  <c r="K39" i="25"/>
  <c r="L39" i="25"/>
  <c r="K40" i="25"/>
  <c r="L40" i="25"/>
  <c r="K41" i="25"/>
  <c r="K42" i="25"/>
  <c r="K43" i="25"/>
  <c r="L43" i="25" s="1"/>
  <c r="N43" i="25" s="1"/>
  <c r="O43" i="25" s="1"/>
  <c r="K57" i="25"/>
  <c r="J43" i="25"/>
  <c r="L44" i="25"/>
  <c r="L22" i="25"/>
  <c r="L23" i="25"/>
  <c r="L24" i="25"/>
  <c r="K25" i="25"/>
  <c r="L25" i="25"/>
  <c r="K26" i="25"/>
  <c r="K27" i="25"/>
  <c r="K28" i="25"/>
  <c r="L28" i="25"/>
  <c r="K29" i="25"/>
  <c r="L29" i="25"/>
  <c r="K30" i="25"/>
  <c r="L30" i="25"/>
  <c r="K31" i="25"/>
  <c r="L31" i="25"/>
  <c r="K32" i="25"/>
  <c r="L32" i="25"/>
  <c r="K33" i="25"/>
  <c r="L33" i="25"/>
  <c r="K34" i="25"/>
  <c r="L34" i="25"/>
  <c r="K35" i="25"/>
  <c r="L35" i="25"/>
  <c r="K36" i="25"/>
  <c r="L36" i="25"/>
  <c r="K47" i="25"/>
  <c r="K49" i="25"/>
  <c r="K50" i="25" s="1"/>
  <c r="L50" i="25" s="1"/>
  <c r="N50" i="25" s="1"/>
  <c r="O50" i="25" s="1"/>
  <c r="L49" i="25"/>
  <c r="L51" i="25"/>
  <c r="K52" i="25"/>
  <c r="L52" i="25"/>
  <c r="H54" i="25"/>
  <c r="H55" i="25"/>
  <c r="L54" i="25"/>
  <c r="L55" i="25"/>
  <c r="H57" i="25"/>
  <c r="O57" i="25"/>
  <c r="L57" i="25"/>
  <c r="N57" i="25"/>
  <c r="G56" i="25"/>
  <c r="H56" i="25"/>
  <c r="K56" i="25"/>
  <c r="L56" i="25"/>
  <c r="N56" i="25"/>
  <c r="O56" i="25"/>
  <c r="O55" i="25"/>
  <c r="N55" i="25"/>
  <c r="O54" i="25"/>
  <c r="N54" i="25"/>
  <c r="N53" i="25"/>
  <c r="O53" i="25"/>
  <c r="N52" i="25"/>
  <c r="O52" i="25"/>
  <c r="N51" i="25"/>
  <c r="O51" i="25"/>
  <c r="N49" i="25"/>
  <c r="O49" i="25" s="1"/>
  <c r="N44" i="25"/>
  <c r="O40" i="25"/>
  <c r="N40" i="25"/>
  <c r="O39" i="25"/>
  <c r="N39" i="25"/>
  <c r="O36" i="25"/>
  <c r="N36" i="25"/>
  <c r="O35" i="25"/>
  <c r="N35" i="25"/>
  <c r="O34" i="25"/>
  <c r="N34" i="25"/>
  <c r="O33" i="25"/>
  <c r="N33" i="25"/>
  <c r="O32" i="25"/>
  <c r="N32" i="25"/>
  <c r="O31" i="25"/>
  <c r="N31" i="25"/>
  <c r="O30" i="25"/>
  <c r="N30" i="25"/>
  <c r="O29" i="25"/>
  <c r="N29" i="25"/>
  <c r="O28" i="25"/>
  <c r="N28" i="25"/>
  <c r="O26" i="25"/>
  <c r="N25" i="25"/>
  <c r="O25" i="25"/>
  <c r="O24" i="25"/>
  <c r="N24" i="25"/>
  <c r="O23" i="25"/>
  <c r="N23" i="25"/>
  <c r="O22" i="25"/>
  <c r="N22" i="25"/>
  <c r="L48" i="13"/>
  <c r="L47" i="13"/>
  <c r="L48" i="1"/>
  <c r="N48" i="1" s="1"/>
  <c r="O48" i="1" s="1"/>
  <c r="G27" i="14"/>
  <c r="H27" i="14" s="1"/>
  <c r="K46" i="17"/>
  <c r="K47" i="17" s="1"/>
  <c r="L47" i="17" s="1"/>
  <c r="N47" i="17" s="1"/>
  <c r="O47" i="17" s="1"/>
  <c r="G46" i="17"/>
  <c r="G47" i="17"/>
  <c r="H47" i="17"/>
  <c r="H46" i="17"/>
  <c r="H41" i="17"/>
  <c r="O41" i="17"/>
  <c r="H38" i="17"/>
  <c r="K47" i="16"/>
  <c r="K48" i="16" s="1"/>
  <c r="L48" i="16" s="1"/>
  <c r="N48" i="16" s="1"/>
  <c r="O48" i="16" s="1"/>
  <c r="G47" i="16"/>
  <c r="G48" i="16"/>
  <c r="H48" i="16"/>
  <c r="H47" i="16"/>
  <c r="H42" i="16"/>
  <c r="H39" i="16"/>
  <c r="K46" i="14"/>
  <c r="L46" i="14" s="1"/>
  <c r="G46" i="14"/>
  <c r="G47" i="14" s="1"/>
  <c r="H47" i="14" s="1"/>
  <c r="K41" i="14"/>
  <c r="G41" i="14"/>
  <c r="H41" i="14"/>
  <c r="K38" i="14"/>
  <c r="G38" i="14"/>
  <c r="H38" i="14" s="1"/>
  <c r="K26" i="14"/>
  <c r="G26" i="14"/>
  <c r="H26" i="14"/>
  <c r="K48" i="13"/>
  <c r="G48" i="13"/>
  <c r="H48" i="13"/>
  <c r="H47" i="13"/>
  <c r="H42" i="13"/>
  <c r="H39" i="13"/>
  <c r="K48" i="8"/>
  <c r="K49" i="8" s="1"/>
  <c r="G48" i="8"/>
  <c r="G49" i="8"/>
  <c r="H49" i="8"/>
  <c r="H48" i="8"/>
  <c r="H40" i="8"/>
  <c r="K48" i="1"/>
  <c r="K49" i="1"/>
  <c r="L49" i="1" s="1"/>
  <c r="N49" i="1" s="1"/>
  <c r="O49" i="1" s="1"/>
  <c r="G48" i="1"/>
  <c r="G49" i="1"/>
  <c r="H49" i="1"/>
  <c r="H48" i="1"/>
  <c r="H40" i="1"/>
  <c r="K25" i="17"/>
  <c r="L25" i="17"/>
  <c r="K26" i="17"/>
  <c r="G25" i="17"/>
  <c r="H25" i="17"/>
  <c r="G26" i="17"/>
  <c r="K27" i="17"/>
  <c r="G27" i="17"/>
  <c r="K26" i="16"/>
  <c r="L26" i="16"/>
  <c r="H26" i="16"/>
  <c r="N26" i="16"/>
  <c r="K27" i="16"/>
  <c r="G26" i="16"/>
  <c r="G27" i="16"/>
  <c r="K28" i="16"/>
  <c r="G28" i="16"/>
  <c r="K25" i="14"/>
  <c r="K27" i="14"/>
  <c r="G25" i="14"/>
  <c r="K26" i="13"/>
  <c r="K27" i="13"/>
  <c r="K28" i="13"/>
  <c r="G26" i="13"/>
  <c r="H26" i="13"/>
  <c r="G27" i="13"/>
  <c r="G28" i="13"/>
  <c r="L26" i="8"/>
  <c r="H26" i="8"/>
  <c r="N26" i="8"/>
  <c r="O26" i="8"/>
  <c r="K26" i="8"/>
  <c r="K27" i="8"/>
  <c r="G26" i="8"/>
  <c r="G27" i="8"/>
  <c r="H27" i="8"/>
  <c r="O27" i="8"/>
  <c r="K26" i="1"/>
  <c r="L26" i="1"/>
  <c r="K27" i="1"/>
  <c r="G26" i="1"/>
  <c r="H26" i="1"/>
  <c r="G27" i="1"/>
  <c r="H27" i="1"/>
  <c r="O27" i="1"/>
  <c r="K49" i="14"/>
  <c r="G49" i="14"/>
  <c r="G50" i="14" s="1"/>
  <c r="H50" i="14" s="1"/>
  <c r="K50" i="16"/>
  <c r="L50" i="16" s="1"/>
  <c r="N50" i="16" s="1"/>
  <c r="O50" i="16" s="1"/>
  <c r="G50" i="16"/>
  <c r="K49" i="17"/>
  <c r="G49" i="17"/>
  <c r="K53" i="17"/>
  <c r="L53" i="17"/>
  <c r="G53" i="17"/>
  <c r="H53" i="17"/>
  <c r="K42" i="16"/>
  <c r="G42" i="16"/>
  <c r="G42" i="14"/>
  <c r="K42" i="13"/>
  <c r="G42" i="13"/>
  <c r="K54" i="16"/>
  <c r="G54" i="16"/>
  <c r="H54" i="16"/>
  <c r="G53" i="14"/>
  <c r="K53" i="14"/>
  <c r="L53" i="14" s="1"/>
  <c r="N53" i="14" s="1"/>
  <c r="H53" i="14"/>
  <c r="O53" i="14" s="1"/>
  <c r="G43" i="14"/>
  <c r="K54" i="13"/>
  <c r="L54" i="13"/>
  <c r="H54" i="13"/>
  <c r="N54" i="13"/>
  <c r="G54" i="13"/>
  <c r="K44" i="13"/>
  <c r="L44" i="13" s="1"/>
  <c r="N44" i="13" s="1"/>
  <c r="O44" i="13" s="1"/>
  <c r="J44" i="13"/>
  <c r="G44" i="13"/>
  <c r="F44" i="13"/>
  <c r="H44" i="13"/>
  <c r="G57" i="8"/>
  <c r="H57" i="8"/>
  <c r="K57" i="8"/>
  <c r="L57" i="8"/>
  <c r="N57" i="8"/>
  <c r="G56" i="8"/>
  <c r="K56" i="8"/>
  <c r="L56" i="8"/>
  <c r="G55" i="8"/>
  <c r="H55" i="8"/>
  <c r="K55" i="8"/>
  <c r="L55" i="8"/>
  <c r="K45" i="8"/>
  <c r="L45" i="8" s="1"/>
  <c r="N45" i="8" s="1"/>
  <c r="O45" i="8" s="1"/>
  <c r="G45" i="8"/>
  <c r="G57" i="1"/>
  <c r="G56" i="1"/>
  <c r="H56" i="1"/>
  <c r="G55" i="1"/>
  <c r="K55" i="1"/>
  <c r="L55" i="1"/>
  <c r="H55" i="1"/>
  <c r="N55" i="1"/>
  <c r="O55" i="1"/>
  <c r="K45" i="1"/>
  <c r="J45" i="1"/>
  <c r="L45" i="1"/>
  <c r="F45" i="1"/>
  <c r="G45" i="1"/>
  <c r="H45" i="1"/>
  <c r="N45" i="1"/>
  <c r="K50" i="13"/>
  <c r="L50" i="13" s="1"/>
  <c r="N50" i="13" s="1"/>
  <c r="O50" i="13" s="1"/>
  <c r="G50" i="13"/>
  <c r="H50" i="13"/>
  <c r="K42" i="17"/>
  <c r="K40" i="17"/>
  <c r="K39" i="17"/>
  <c r="L39" i="17"/>
  <c r="K38" i="17"/>
  <c r="G42" i="17"/>
  <c r="H42" i="17"/>
  <c r="G40" i="17"/>
  <c r="G39" i="17"/>
  <c r="H39" i="17"/>
  <c r="O39" i="17"/>
  <c r="G38" i="17"/>
  <c r="G57" i="17"/>
  <c r="K57" i="17"/>
  <c r="G56" i="17"/>
  <c r="H56" i="17"/>
  <c r="K56" i="17"/>
  <c r="L56" i="17"/>
  <c r="N56" i="17"/>
  <c r="L55" i="17"/>
  <c r="H55" i="17"/>
  <c r="N55" i="17"/>
  <c r="L54" i="17"/>
  <c r="H54" i="17"/>
  <c r="O54" i="17"/>
  <c r="K52" i="17"/>
  <c r="L52" i="17"/>
  <c r="H52" i="17"/>
  <c r="N52" i="17"/>
  <c r="O52" i="17"/>
  <c r="G52" i="17"/>
  <c r="L51" i="17"/>
  <c r="H51" i="17"/>
  <c r="N51" i="17"/>
  <c r="K50" i="17"/>
  <c r="L50" i="17" s="1"/>
  <c r="N50" i="17" s="1"/>
  <c r="O50" i="17" s="1"/>
  <c r="G50" i="17"/>
  <c r="H50" i="17"/>
  <c r="H49" i="17"/>
  <c r="L49" i="17"/>
  <c r="N49" i="17" s="1"/>
  <c r="O49" i="17" s="1"/>
  <c r="L44" i="17"/>
  <c r="H44" i="17"/>
  <c r="N44" i="17"/>
  <c r="K43" i="17"/>
  <c r="G43" i="17"/>
  <c r="F43" i="17"/>
  <c r="H43" i="17"/>
  <c r="K41" i="17"/>
  <c r="G41" i="17"/>
  <c r="L40" i="17"/>
  <c r="N40" i="17"/>
  <c r="H40" i="17"/>
  <c r="O40" i="17"/>
  <c r="K36" i="17"/>
  <c r="L36" i="17"/>
  <c r="G36" i="17"/>
  <c r="H36" i="17"/>
  <c r="O36" i="17"/>
  <c r="K35" i="17"/>
  <c r="L35" i="17"/>
  <c r="N35" i="17"/>
  <c r="G35" i="17"/>
  <c r="H35" i="17"/>
  <c r="O35" i="17"/>
  <c r="K34" i="17"/>
  <c r="L34" i="17"/>
  <c r="G34" i="17"/>
  <c r="H34" i="17"/>
  <c r="O34" i="17"/>
  <c r="K33" i="17"/>
  <c r="L33" i="17"/>
  <c r="N33" i="17"/>
  <c r="G33" i="17"/>
  <c r="H33" i="17"/>
  <c r="O33" i="17"/>
  <c r="K32" i="17"/>
  <c r="L32" i="17"/>
  <c r="N32" i="17"/>
  <c r="G32" i="17"/>
  <c r="H32" i="17"/>
  <c r="O32" i="17"/>
  <c r="K31" i="17"/>
  <c r="L31" i="17"/>
  <c r="N31" i="17"/>
  <c r="G31" i="17"/>
  <c r="H31" i="17"/>
  <c r="O31" i="17"/>
  <c r="K30" i="17"/>
  <c r="L30" i="17"/>
  <c r="N30" i="17"/>
  <c r="H30" i="17"/>
  <c r="O30" i="17"/>
  <c r="G30" i="17"/>
  <c r="K29" i="17"/>
  <c r="L29" i="17"/>
  <c r="G29" i="17"/>
  <c r="H29" i="17"/>
  <c r="O29" i="17"/>
  <c r="K28" i="17"/>
  <c r="L28" i="17"/>
  <c r="N28" i="17"/>
  <c r="G28" i="17"/>
  <c r="H28" i="17"/>
  <c r="O28" i="17"/>
  <c r="H26" i="17"/>
  <c r="O26" i="17"/>
  <c r="L24" i="17"/>
  <c r="N24" i="17"/>
  <c r="H24" i="17"/>
  <c r="O24" i="17"/>
  <c r="L23" i="17"/>
  <c r="N23" i="17"/>
  <c r="H23" i="17"/>
  <c r="L22" i="17"/>
  <c r="H22" i="17"/>
  <c r="N22" i="17"/>
  <c r="G58" i="16"/>
  <c r="K58" i="16"/>
  <c r="F44" i="16"/>
  <c r="G57" i="16"/>
  <c r="H57" i="16"/>
  <c r="K57" i="16"/>
  <c r="L57" i="16"/>
  <c r="L56" i="16"/>
  <c r="H56" i="16"/>
  <c r="N56" i="16"/>
  <c r="O56" i="16"/>
  <c r="L55" i="16"/>
  <c r="H55" i="16"/>
  <c r="O55" i="16"/>
  <c r="L54" i="16"/>
  <c r="K53" i="16"/>
  <c r="L53" i="16"/>
  <c r="H53" i="16"/>
  <c r="N53" i="16"/>
  <c r="G53" i="16"/>
  <c r="O53" i="16"/>
  <c r="L52" i="16"/>
  <c r="H52" i="16"/>
  <c r="N52" i="16"/>
  <c r="O52" i="16"/>
  <c r="G51" i="16"/>
  <c r="H51" i="16"/>
  <c r="H50" i="16"/>
  <c r="L45" i="16"/>
  <c r="H45" i="16"/>
  <c r="N45" i="16"/>
  <c r="K44" i="16"/>
  <c r="L44" i="16" s="1"/>
  <c r="N44" i="16" s="1"/>
  <c r="O44" i="16" s="1"/>
  <c r="G44" i="16"/>
  <c r="H44" i="16"/>
  <c r="K43" i="16"/>
  <c r="G43" i="16"/>
  <c r="H43" i="16"/>
  <c r="K41" i="16"/>
  <c r="L41" i="16"/>
  <c r="N41" i="16"/>
  <c r="G41" i="16"/>
  <c r="H41" i="16"/>
  <c r="O41" i="16"/>
  <c r="K40" i="16"/>
  <c r="L40" i="16"/>
  <c r="N40" i="16"/>
  <c r="G40" i="16"/>
  <c r="H40" i="16"/>
  <c r="O40" i="16"/>
  <c r="K39" i="16"/>
  <c r="K37" i="16"/>
  <c r="L37" i="16"/>
  <c r="G37" i="16"/>
  <c r="H37" i="16"/>
  <c r="O37" i="16"/>
  <c r="K36" i="16"/>
  <c r="L36" i="16"/>
  <c r="G36" i="16"/>
  <c r="H36" i="16"/>
  <c r="N36" i="16"/>
  <c r="K35" i="16"/>
  <c r="L35" i="16"/>
  <c r="G35" i="16"/>
  <c r="H35" i="16"/>
  <c r="O35" i="16"/>
  <c r="K34" i="16"/>
  <c r="L34" i="16"/>
  <c r="G34" i="16"/>
  <c r="H34" i="16"/>
  <c r="O34" i="16"/>
  <c r="K33" i="16"/>
  <c r="L33" i="16"/>
  <c r="G33" i="16"/>
  <c r="H33" i="16"/>
  <c r="N33" i="16"/>
  <c r="O33" i="16"/>
  <c r="K32" i="16"/>
  <c r="L32" i="16"/>
  <c r="N32" i="16"/>
  <c r="G32" i="16"/>
  <c r="H32" i="16"/>
  <c r="O32" i="16"/>
  <c r="K31" i="16"/>
  <c r="L31" i="16"/>
  <c r="G31" i="16"/>
  <c r="H31" i="16"/>
  <c r="K30" i="16"/>
  <c r="L30" i="16"/>
  <c r="N30" i="16"/>
  <c r="G30" i="16"/>
  <c r="H30" i="16"/>
  <c r="O30" i="16"/>
  <c r="K29" i="16"/>
  <c r="L29" i="16"/>
  <c r="N29" i="16"/>
  <c r="G29" i="16"/>
  <c r="H29" i="16"/>
  <c r="O29" i="16"/>
  <c r="G39" i="16"/>
  <c r="H27" i="16"/>
  <c r="O27" i="16"/>
  <c r="L24" i="16"/>
  <c r="H24" i="16"/>
  <c r="N24" i="16"/>
  <c r="O24" i="16"/>
  <c r="L23" i="16"/>
  <c r="N23" i="16"/>
  <c r="H23" i="16"/>
  <c r="O23" i="16"/>
  <c r="L22" i="16"/>
  <c r="H22" i="16"/>
  <c r="N22" i="16"/>
  <c r="O22" i="16"/>
  <c r="G57" i="14"/>
  <c r="K57" i="14"/>
  <c r="J43" i="14" s="1"/>
  <c r="G56" i="14"/>
  <c r="H56" i="14"/>
  <c r="O56" i="14" s="1"/>
  <c r="K56" i="14"/>
  <c r="L56" i="14"/>
  <c r="N56" i="14" s="1"/>
  <c r="L55" i="14"/>
  <c r="N55" i="14" s="1"/>
  <c r="H55" i="14"/>
  <c r="O55" i="14" s="1"/>
  <c r="L54" i="14"/>
  <c r="H54" i="14"/>
  <c r="O54" i="14"/>
  <c r="K52" i="14"/>
  <c r="L52" i="14" s="1"/>
  <c r="G52" i="14"/>
  <c r="H52" i="14" s="1"/>
  <c r="L51" i="14"/>
  <c r="N51" i="14" s="1"/>
  <c r="H51" i="14"/>
  <c r="O51" i="14" s="1"/>
  <c r="K50" i="14"/>
  <c r="L50" i="14" s="1"/>
  <c r="L49" i="14"/>
  <c r="L44" i="14"/>
  <c r="N44" i="14" s="1"/>
  <c r="H44" i="14"/>
  <c r="K43" i="14"/>
  <c r="F43" i="14"/>
  <c r="H43" i="14"/>
  <c r="K42" i="14"/>
  <c r="H42" i="14"/>
  <c r="K40" i="14"/>
  <c r="L40" i="14"/>
  <c r="N40" i="14" s="1"/>
  <c r="G40" i="14"/>
  <c r="H40" i="14"/>
  <c r="O40" i="14" s="1"/>
  <c r="K39" i="14"/>
  <c r="L39" i="14" s="1"/>
  <c r="N39" i="14" s="1"/>
  <c r="G39" i="14"/>
  <c r="H39" i="14" s="1"/>
  <c r="O39" i="14" s="1"/>
  <c r="K36" i="14"/>
  <c r="L36" i="14"/>
  <c r="G36" i="14"/>
  <c r="H36" i="14"/>
  <c r="O36" i="14" s="1"/>
  <c r="K35" i="14"/>
  <c r="L35" i="14" s="1"/>
  <c r="N35" i="14" s="1"/>
  <c r="G35" i="14"/>
  <c r="H35" i="14" s="1"/>
  <c r="O35" i="14" s="1"/>
  <c r="K34" i="14"/>
  <c r="L34" i="14"/>
  <c r="N34" i="14" s="1"/>
  <c r="G34" i="14"/>
  <c r="H34" i="14"/>
  <c r="O34" i="14"/>
  <c r="K33" i="14"/>
  <c r="L33" i="14"/>
  <c r="G33" i="14"/>
  <c r="H33" i="14"/>
  <c r="O33" i="14" s="1"/>
  <c r="K32" i="14"/>
  <c r="L32" i="14" s="1"/>
  <c r="G32" i="14"/>
  <c r="H32" i="14" s="1"/>
  <c r="O32" i="14" s="1"/>
  <c r="K31" i="14"/>
  <c r="L31" i="14"/>
  <c r="N31" i="14" s="1"/>
  <c r="G31" i="14"/>
  <c r="H31" i="14"/>
  <c r="K30" i="14"/>
  <c r="L30" i="14"/>
  <c r="N30" i="14" s="1"/>
  <c r="G30" i="14"/>
  <c r="H30" i="14"/>
  <c r="O30" i="14" s="1"/>
  <c r="K29" i="14"/>
  <c r="L29" i="14" s="1"/>
  <c r="G29" i="14"/>
  <c r="H29" i="14" s="1"/>
  <c r="O29" i="14" s="1"/>
  <c r="K28" i="14"/>
  <c r="L28" i="14"/>
  <c r="G28" i="14"/>
  <c r="H28" i="14"/>
  <c r="O28" i="14" s="1"/>
  <c r="O26" i="14"/>
  <c r="L25" i="14"/>
  <c r="H25" i="14"/>
  <c r="N25" i="14" s="1"/>
  <c r="L24" i="14"/>
  <c r="H24" i="14"/>
  <c r="N24" i="14" s="1"/>
  <c r="O24" i="14"/>
  <c r="L23" i="14"/>
  <c r="N23" i="14"/>
  <c r="H23" i="14"/>
  <c r="O23" i="14"/>
  <c r="L22" i="14"/>
  <c r="N22" i="14"/>
  <c r="H22" i="14"/>
  <c r="O22" i="14"/>
  <c r="N35" i="16"/>
  <c r="H58" i="16"/>
  <c r="O58" i="16"/>
  <c r="G53" i="13"/>
  <c r="H53" i="13"/>
  <c r="L53" i="13"/>
  <c r="N53" i="13"/>
  <c r="O53" i="13"/>
  <c r="K43" i="13"/>
  <c r="K41" i="13"/>
  <c r="L41" i="13"/>
  <c r="K40" i="13"/>
  <c r="K39" i="13"/>
  <c r="G43" i="13"/>
  <c r="G41" i="13"/>
  <c r="H41" i="13"/>
  <c r="G40" i="13"/>
  <c r="H40" i="13"/>
  <c r="K58" i="13"/>
  <c r="L58" i="13"/>
  <c r="N58" i="13"/>
  <c r="K57" i="13"/>
  <c r="L57" i="13"/>
  <c r="H56" i="13"/>
  <c r="O56" i="13"/>
  <c r="L55" i="13"/>
  <c r="N55" i="13"/>
  <c r="K53" i="13"/>
  <c r="L52" i="13"/>
  <c r="N52" i="13"/>
  <c r="O52" i="13"/>
  <c r="H52" i="13"/>
  <c r="L45" i="13"/>
  <c r="H45" i="13"/>
  <c r="N45" i="13"/>
  <c r="H43" i="13"/>
  <c r="L40" i="13"/>
  <c r="K37" i="13"/>
  <c r="L37" i="13"/>
  <c r="N37" i="13"/>
  <c r="G37" i="13"/>
  <c r="H37" i="13"/>
  <c r="O37" i="13"/>
  <c r="K36" i="13"/>
  <c r="L36" i="13"/>
  <c r="N36" i="13" s="1"/>
  <c r="G36" i="13"/>
  <c r="H36" i="13"/>
  <c r="O36" i="13"/>
  <c r="K35" i="13"/>
  <c r="L35" i="13"/>
  <c r="N35" i="13"/>
  <c r="G35" i="13"/>
  <c r="H35" i="13"/>
  <c r="O35" i="13"/>
  <c r="K34" i="13"/>
  <c r="L34" i="13"/>
  <c r="N34" i="13" s="1"/>
  <c r="G34" i="13"/>
  <c r="H34" i="13"/>
  <c r="O34" i="13"/>
  <c r="K33" i="13"/>
  <c r="L33" i="13"/>
  <c r="N33" i="13"/>
  <c r="G33" i="13"/>
  <c r="H33" i="13"/>
  <c r="O33" i="13"/>
  <c r="K32" i="13"/>
  <c r="L32" i="13"/>
  <c r="G32" i="13"/>
  <c r="H32" i="13"/>
  <c r="K31" i="13"/>
  <c r="L31" i="13"/>
  <c r="G31" i="13"/>
  <c r="H31" i="13"/>
  <c r="O31" i="13"/>
  <c r="K30" i="13"/>
  <c r="L30" i="13"/>
  <c r="N30" i="13"/>
  <c r="G30" i="13"/>
  <c r="H30" i="13"/>
  <c r="O30" i="13"/>
  <c r="L29" i="13"/>
  <c r="N29" i="13" s="1"/>
  <c r="K29" i="13"/>
  <c r="G29" i="13"/>
  <c r="H29" i="13"/>
  <c r="O29" i="13"/>
  <c r="H27" i="13"/>
  <c r="O27" i="13"/>
  <c r="L26" i="13"/>
  <c r="L24" i="13"/>
  <c r="H24" i="13"/>
  <c r="N24" i="13"/>
  <c r="O24" i="13"/>
  <c r="L23" i="13"/>
  <c r="N23" i="13"/>
  <c r="H23" i="13"/>
  <c r="L22" i="13"/>
  <c r="N22" i="13"/>
  <c r="H22" i="13"/>
  <c r="O22" i="13"/>
  <c r="G59" i="8"/>
  <c r="K59" i="8"/>
  <c r="L59" i="8"/>
  <c r="H59" i="8"/>
  <c r="N59" i="8"/>
  <c r="G58" i="8"/>
  <c r="K58" i="8"/>
  <c r="L58" i="8"/>
  <c r="H58" i="8"/>
  <c r="N58" i="8"/>
  <c r="K54" i="8"/>
  <c r="L54" i="8"/>
  <c r="H54" i="8"/>
  <c r="N54" i="8"/>
  <c r="G54" i="8"/>
  <c r="O54" i="8"/>
  <c r="L53" i="8"/>
  <c r="H53" i="8"/>
  <c r="N53" i="8"/>
  <c r="O53" i="8"/>
  <c r="L46" i="8"/>
  <c r="H46" i="8"/>
  <c r="N46" i="8"/>
  <c r="J45" i="8"/>
  <c r="F45" i="8"/>
  <c r="H45" i="8"/>
  <c r="K44" i="8"/>
  <c r="G44" i="8"/>
  <c r="H44" i="8"/>
  <c r="K43" i="8"/>
  <c r="L43" i="8"/>
  <c r="N43" i="8"/>
  <c r="G43" i="8"/>
  <c r="H43" i="8"/>
  <c r="O43" i="8"/>
  <c r="K42" i="8"/>
  <c r="L42" i="8"/>
  <c r="G42" i="8"/>
  <c r="H42" i="8"/>
  <c r="O42" i="8"/>
  <c r="K41" i="8"/>
  <c r="L41" i="8"/>
  <c r="G41" i="8"/>
  <c r="H41" i="8"/>
  <c r="O41" i="8"/>
  <c r="K40" i="8"/>
  <c r="G40" i="8"/>
  <c r="K37" i="8"/>
  <c r="L37" i="8"/>
  <c r="G37" i="8"/>
  <c r="H37" i="8"/>
  <c r="K36" i="8"/>
  <c r="L36" i="8"/>
  <c r="G36" i="8"/>
  <c r="H36" i="8"/>
  <c r="K35" i="8"/>
  <c r="L35" i="8"/>
  <c r="N35" i="8"/>
  <c r="G35" i="8"/>
  <c r="H35" i="8"/>
  <c r="O35" i="8"/>
  <c r="K34" i="8"/>
  <c r="L34" i="8"/>
  <c r="N34" i="8"/>
  <c r="G34" i="8"/>
  <c r="H34" i="8"/>
  <c r="O34" i="8"/>
  <c r="K33" i="8"/>
  <c r="L33" i="8"/>
  <c r="G33" i="8"/>
  <c r="H33" i="8"/>
  <c r="K32" i="8"/>
  <c r="L32" i="8"/>
  <c r="N32" i="8"/>
  <c r="G32" i="8"/>
  <c r="H32" i="8"/>
  <c r="O32" i="8"/>
  <c r="K31" i="8"/>
  <c r="L31" i="8"/>
  <c r="G31" i="8"/>
  <c r="H31" i="8"/>
  <c r="O31" i="8"/>
  <c r="K30" i="8"/>
  <c r="L30" i="8"/>
  <c r="G30" i="8"/>
  <c r="H30" i="8"/>
  <c r="O30" i="8"/>
  <c r="K29" i="8"/>
  <c r="L29" i="8"/>
  <c r="N29" i="8"/>
  <c r="G29" i="8"/>
  <c r="H29" i="8"/>
  <c r="O29" i="8"/>
  <c r="K28" i="8"/>
  <c r="G28" i="8"/>
  <c r="H24" i="8"/>
  <c r="O24" i="8"/>
  <c r="L39" i="8"/>
  <c r="H39" i="8"/>
  <c r="O39" i="8"/>
  <c r="L23" i="8"/>
  <c r="H23" i="8"/>
  <c r="L22" i="8"/>
  <c r="H22" i="8"/>
  <c r="G58" i="1"/>
  <c r="H58" i="1"/>
  <c r="G39" i="13"/>
  <c r="N40" i="13"/>
  <c r="O40" i="13"/>
  <c r="H58" i="13"/>
  <c r="O58" i="13"/>
  <c r="L56" i="13"/>
  <c r="N56" i="13"/>
  <c r="H55" i="13"/>
  <c r="O55" i="13"/>
  <c r="H57" i="13"/>
  <c r="O57" i="13"/>
  <c r="N23" i="8"/>
  <c r="O23" i="8"/>
  <c r="O59" i="8"/>
  <c r="G59" i="1"/>
  <c r="H59" i="1"/>
  <c r="O59" i="1"/>
  <c r="K59" i="1"/>
  <c r="L59" i="1"/>
  <c r="H57" i="1"/>
  <c r="K56" i="1"/>
  <c r="L56" i="1"/>
  <c r="N56" i="1"/>
  <c r="K54" i="1"/>
  <c r="L54" i="1"/>
  <c r="N54" i="1"/>
  <c r="O54" i="1"/>
  <c r="G54" i="1"/>
  <c r="H54" i="1"/>
  <c r="L53" i="1"/>
  <c r="H53" i="1"/>
  <c r="N53" i="1"/>
  <c r="O53" i="1"/>
  <c r="L46" i="1"/>
  <c r="H46" i="1"/>
  <c r="N46" i="1"/>
  <c r="O45" i="1"/>
  <c r="K44" i="1"/>
  <c r="G44" i="1"/>
  <c r="H44" i="1"/>
  <c r="K43" i="1"/>
  <c r="L43" i="1"/>
  <c r="N43" i="1"/>
  <c r="G43" i="1"/>
  <c r="H43" i="1"/>
  <c r="O43" i="1"/>
  <c r="K42" i="1"/>
  <c r="L42" i="1"/>
  <c r="N42" i="1"/>
  <c r="G42" i="1"/>
  <c r="H42" i="1"/>
  <c r="O42" i="1"/>
  <c r="K41" i="1"/>
  <c r="L41" i="1"/>
  <c r="N41" i="1"/>
  <c r="G41" i="1"/>
  <c r="H41" i="1"/>
  <c r="K40" i="1"/>
  <c r="G40" i="1"/>
  <c r="K37" i="1"/>
  <c r="L37" i="1"/>
  <c r="N37" i="1"/>
  <c r="G37" i="1"/>
  <c r="H37" i="1"/>
  <c r="O37" i="1"/>
  <c r="K36" i="1"/>
  <c r="L36" i="1"/>
  <c r="N36" i="1"/>
  <c r="G36" i="1"/>
  <c r="H36" i="1"/>
  <c r="O36" i="1"/>
  <c r="K35" i="1"/>
  <c r="L35" i="1"/>
  <c r="G35" i="1"/>
  <c r="H35" i="1"/>
  <c r="N35" i="1"/>
  <c r="O35" i="1"/>
  <c r="K34" i="1"/>
  <c r="L34" i="1"/>
  <c r="N34" i="1"/>
  <c r="G34" i="1"/>
  <c r="H34" i="1"/>
  <c r="O34" i="1"/>
  <c r="K33" i="1"/>
  <c r="L33" i="1"/>
  <c r="G33" i="1"/>
  <c r="H33" i="1"/>
  <c r="O33" i="1"/>
  <c r="K32" i="1"/>
  <c r="L32" i="1"/>
  <c r="N32" i="1"/>
  <c r="G32" i="1"/>
  <c r="H32" i="1"/>
  <c r="O32" i="1"/>
  <c r="K31" i="1"/>
  <c r="L31" i="1"/>
  <c r="N31" i="1"/>
  <c r="G31" i="1"/>
  <c r="H31" i="1"/>
  <c r="O31" i="1"/>
  <c r="K30" i="1"/>
  <c r="L30" i="1"/>
  <c r="G30" i="1"/>
  <c r="H30" i="1"/>
  <c r="O30" i="1"/>
  <c r="K29" i="1"/>
  <c r="L29" i="1"/>
  <c r="G29" i="1"/>
  <c r="H29" i="1"/>
  <c r="O29" i="1"/>
  <c r="K28" i="1"/>
  <c r="G28" i="1"/>
  <c r="H24" i="1"/>
  <c r="L39" i="1"/>
  <c r="N39" i="1"/>
  <c r="H39" i="1"/>
  <c r="O39" i="1"/>
  <c r="L23" i="1"/>
  <c r="H23" i="1"/>
  <c r="N23" i="1"/>
  <c r="L22" i="1"/>
  <c r="H22" i="1"/>
  <c r="N22" i="1"/>
  <c r="O22" i="1"/>
  <c r="K57" i="1"/>
  <c r="L57" i="1"/>
  <c r="N57" i="1"/>
  <c r="N54" i="17"/>
  <c r="N55" i="16"/>
  <c r="N57" i="13"/>
  <c r="O23" i="17"/>
  <c r="O41" i="1"/>
  <c r="O24" i="1"/>
  <c r="N29" i="1"/>
  <c r="O58" i="8"/>
  <c r="N39" i="8"/>
  <c r="O23" i="13"/>
  <c r="O31" i="14"/>
  <c r="L57" i="14"/>
  <c r="N57" i="14" s="1"/>
  <c r="O57" i="14" s="1"/>
  <c r="H57" i="14"/>
  <c r="N54" i="14"/>
  <c r="O41" i="13"/>
  <c r="N41" i="13"/>
  <c r="O54" i="13"/>
  <c r="N26" i="13"/>
  <c r="O26" i="13"/>
  <c r="N31" i="13"/>
  <c r="O32" i="13"/>
  <c r="N32" i="13"/>
  <c r="G51" i="13"/>
  <c r="H51" i="13"/>
  <c r="O37" i="8"/>
  <c r="N37" i="8"/>
  <c r="O36" i="8"/>
  <c r="N36" i="8"/>
  <c r="G51" i="8"/>
  <c r="H51" i="8"/>
  <c r="G52" i="8"/>
  <c r="H52" i="8"/>
  <c r="N31" i="8"/>
  <c r="N55" i="8"/>
  <c r="O55" i="8"/>
  <c r="O57" i="8"/>
  <c r="N30" i="8"/>
  <c r="O33" i="8"/>
  <c r="N33" i="8"/>
  <c r="N22" i="8"/>
  <c r="O22" i="8"/>
  <c r="N42" i="8"/>
  <c r="H56" i="8"/>
  <c r="N41" i="8"/>
  <c r="K52" i="1"/>
  <c r="L52" i="1" s="1"/>
  <c r="N52" i="1" s="1"/>
  <c r="O52" i="1" s="1"/>
  <c r="G51" i="1"/>
  <c r="H51" i="1"/>
  <c r="O57" i="1"/>
  <c r="N59" i="1"/>
  <c r="O56" i="1"/>
  <c r="N26" i="1"/>
  <c r="O26" i="1"/>
  <c r="N30" i="1"/>
  <c r="O23" i="1"/>
  <c r="N33" i="1"/>
  <c r="G52" i="1"/>
  <c r="H52" i="1"/>
  <c r="K58" i="1"/>
  <c r="L58" i="1"/>
  <c r="N58" i="1"/>
  <c r="O58" i="1"/>
  <c r="O31" i="16"/>
  <c r="N31" i="16"/>
  <c r="L58" i="16"/>
  <c r="N58" i="16"/>
  <c r="J44" i="16"/>
  <c r="N37" i="16"/>
  <c r="N54" i="16"/>
  <c r="O54" i="16"/>
  <c r="O26" i="16"/>
  <c r="N34" i="16"/>
  <c r="N57" i="16"/>
  <c r="O57" i="16"/>
  <c r="O36" i="16"/>
  <c r="L57" i="17"/>
  <c r="J43" i="17"/>
  <c r="L43" i="17"/>
  <c r="N43" i="17" s="1"/>
  <c r="O43" i="17" s="1"/>
  <c r="N29" i="17"/>
  <c r="N53" i="17"/>
  <c r="O53" i="17"/>
  <c r="N34" i="17"/>
  <c r="N25" i="17"/>
  <c r="O25" i="17"/>
  <c r="N39" i="17"/>
  <c r="O56" i="17"/>
  <c r="O22" i="17"/>
  <c r="O51" i="17"/>
  <c r="O55" i="17"/>
  <c r="H57" i="17"/>
  <c r="O57" i="17"/>
  <c r="N36" i="17"/>
  <c r="N56" i="8"/>
  <c r="O56" i="8"/>
  <c r="N57" i="17"/>
  <c r="N47" i="39" l="1"/>
  <c r="K51" i="16"/>
  <c r="L51" i="16" s="1"/>
  <c r="N51" i="16" s="1"/>
  <c r="O51" i="16" s="1"/>
  <c r="O56" i="37"/>
  <c r="O52" i="37"/>
  <c r="O24" i="37"/>
  <c r="L57" i="37"/>
  <c r="N57" i="37" s="1"/>
  <c r="O57" i="37" s="1"/>
  <c r="N39" i="37"/>
  <c r="K53" i="37"/>
  <c r="L53" i="37" s="1"/>
  <c r="N53" i="37" s="1"/>
  <c r="O53" i="37" s="1"/>
  <c r="L43" i="37"/>
  <c r="N43" i="37" s="1"/>
  <c r="O43" i="37" s="1"/>
  <c r="N49" i="37"/>
  <c r="O49" i="37" s="1"/>
  <c r="N32" i="14"/>
  <c r="N29" i="14"/>
  <c r="N52" i="14"/>
  <c r="O52" i="14" s="1"/>
  <c r="O25" i="14"/>
  <c r="N28" i="14"/>
  <c r="N33" i="14"/>
  <c r="N36" i="14"/>
  <c r="L43" i="14"/>
  <c r="N43" i="14" s="1"/>
  <c r="O43" i="14" s="1"/>
  <c r="N49" i="14"/>
  <c r="O49" i="14" s="1"/>
  <c r="N50" i="14"/>
  <c r="O50" i="14" s="1"/>
  <c r="H49" i="14"/>
  <c r="H46" i="14"/>
  <c r="N46" i="14"/>
  <c r="O46" i="14" s="1"/>
  <c r="K47" i="37"/>
  <c r="L47" i="37" s="1"/>
  <c r="N47" i="37" s="1"/>
  <c r="O47" i="37" s="1"/>
  <c r="K47" i="14"/>
  <c r="L47" i="14" s="1"/>
  <c r="N47" i="14" s="1"/>
  <c r="O47" i="14" s="1"/>
  <c r="L48" i="27"/>
  <c r="N48" i="27" s="1"/>
  <c r="O48" i="27" s="1"/>
  <c r="L48" i="34"/>
  <c r="N48" i="34" s="1"/>
  <c r="O48" i="34" s="1"/>
  <c r="L50" i="36"/>
  <c r="N50" i="36" s="1"/>
  <c r="O50" i="36" s="1"/>
  <c r="K50" i="37"/>
  <c r="L50" i="37" s="1"/>
  <c r="N50" i="37" s="1"/>
  <c r="O50" i="37" s="1"/>
  <c r="L48" i="28"/>
  <c r="N48" i="28" s="1"/>
  <c r="O48" i="28" s="1"/>
  <c r="L48" i="35"/>
  <c r="N48" i="35" s="1"/>
  <c r="O48" i="35" s="1"/>
  <c r="L46" i="17"/>
  <c r="N46" i="17" s="1"/>
  <c r="O46" i="17" s="1"/>
  <c r="N50" i="39"/>
  <c r="O50" i="39" s="1"/>
  <c r="K51" i="32"/>
  <c r="L51" i="32" s="1"/>
  <c r="N51" i="32" s="1"/>
  <c r="O51" i="32" s="1"/>
  <c r="K51" i="28"/>
  <c r="L51" i="28" s="1"/>
  <c r="N51" i="28" s="1"/>
  <c r="O51" i="28" s="1"/>
  <c r="K52" i="28"/>
  <c r="L52" i="28" s="1"/>
  <c r="N52" i="28" s="1"/>
  <c r="O52" i="28" s="1"/>
  <c r="L49" i="28"/>
  <c r="N49" i="28" s="1"/>
  <c r="O49" i="28" s="1"/>
  <c r="L47" i="16"/>
  <c r="N47" i="16" s="1"/>
  <c r="O47" i="16" s="1"/>
  <c r="K51" i="13"/>
  <c r="L51" i="13" s="1"/>
  <c r="N51" i="13" s="1"/>
  <c r="O51" i="13" s="1"/>
  <c r="K51" i="35"/>
  <c r="L51" i="35" s="1"/>
  <c r="N51" i="35" s="1"/>
  <c r="O51" i="35" s="1"/>
  <c r="K52" i="35"/>
  <c r="L52" i="35" s="1"/>
  <c r="N52" i="35" s="1"/>
  <c r="O52" i="35" s="1"/>
  <c r="L49" i="35"/>
  <c r="N49" i="35" s="1"/>
  <c r="O49" i="35" s="1"/>
  <c r="K51" i="34"/>
  <c r="L51" i="34" s="1"/>
  <c r="N51" i="34" s="1"/>
  <c r="O51" i="34" s="1"/>
  <c r="K52" i="34"/>
  <c r="L52" i="34" s="1"/>
  <c r="N52" i="34" s="1"/>
  <c r="O52" i="34" s="1"/>
  <c r="L49" i="34"/>
  <c r="N49" i="34" s="1"/>
  <c r="O49" i="34" s="1"/>
  <c r="K51" i="33"/>
  <c r="L51" i="33" s="1"/>
  <c r="N51" i="33" s="1"/>
  <c r="O51" i="33" s="1"/>
  <c r="K52" i="33"/>
  <c r="L52" i="33" s="1"/>
  <c r="N52" i="33" s="1"/>
  <c r="O52" i="33" s="1"/>
  <c r="L49" i="33"/>
  <c r="N49" i="33" s="1"/>
  <c r="O49" i="33" s="1"/>
  <c r="L49" i="8"/>
  <c r="N49" i="8" s="1"/>
  <c r="O49" i="8" s="1"/>
  <c r="K52" i="8"/>
  <c r="L52" i="8" s="1"/>
  <c r="N52" i="8" s="1"/>
  <c r="O52" i="8" s="1"/>
  <c r="K51" i="8"/>
  <c r="L51" i="8" s="1"/>
  <c r="N51" i="8" s="1"/>
  <c r="O51" i="8" s="1"/>
  <c r="L48" i="8"/>
  <c r="N48" i="8" s="1"/>
  <c r="O48" i="8" s="1"/>
  <c r="K49" i="31"/>
  <c r="K49" i="30"/>
  <c r="K49" i="29"/>
  <c r="K51" i="27"/>
  <c r="L51" i="27" s="1"/>
  <c r="N51" i="27" s="1"/>
  <c r="O51" i="27" s="1"/>
  <c r="K52" i="27"/>
  <c r="L52" i="27" s="1"/>
  <c r="N52" i="27" s="1"/>
  <c r="O52" i="27" s="1"/>
  <c r="L49" i="27"/>
  <c r="N49" i="27" s="1"/>
  <c r="O49" i="27" s="1"/>
  <c r="K49" i="26"/>
  <c r="K51" i="1"/>
  <c r="L51" i="1" s="1"/>
  <c r="N51" i="1" s="1"/>
  <c r="O51" i="1" s="1"/>
  <c r="H37" i="39"/>
  <c r="H45" i="39" s="1"/>
  <c r="N47" i="25"/>
  <c r="O47" i="25" s="1"/>
  <c r="N46" i="25"/>
  <c r="O46" i="25" s="1"/>
  <c r="N51" i="40"/>
  <c r="O51" i="40" s="1"/>
  <c r="J44" i="40"/>
  <c r="L44" i="40" s="1"/>
  <c r="L58" i="40"/>
  <c r="N58" i="40" s="1"/>
  <c r="O58" i="40" s="1"/>
  <c r="H46" i="40"/>
  <c r="N48" i="40"/>
  <c r="O48" i="40" s="1"/>
  <c r="J43" i="39"/>
  <c r="L43" i="39" s="1"/>
  <c r="L57" i="39"/>
  <c r="N57" i="39" s="1"/>
  <c r="O57" i="39" s="1"/>
  <c r="N53" i="39"/>
  <c r="O53" i="39" s="1"/>
  <c r="O47" i="39"/>
  <c r="L48" i="36"/>
  <c r="N48" i="36" s="1"/>
  <c r="O48" i="36" s="1"/>
  <c r="N47" i="36"/>
  <c r="O47" i="36" s="1"/>
  <c r="N48" i="13"/>
  <c r="O48" i="13" s="1"/>
  <c r="N47" i="13"/>
  <c r="O47" i="13" s="1"/>
  <c r="H49" i="38"/>
  <c r="H66" i="38" s="1"/>
  <c r="O54" i="38"/>
  <c r="N47" i="38"/>
  <c r="O47" i="38" s="1"/>
  <c r="H38" i="29"/>
  <c r="H38" i="32"/>
  <c r="H38" i="27"/>
  <c r="H38" i="35"/>
  <c r="H37" i="14"/>
  <c r="H38" i="13"/>
  <c r="H38" i="36"/>
  <c r="H38" i="28"/>
  <c r="H37" i="17"/>
  <c r="H38" i="1"/>
  <c r="H38" i="8"/>
  <c r="H38" i="16"/>
  <c r="F26" i="24" s="1"/>
  <c r="H38" i="31"/>
  <c r="F15" i="24" s="1"/>
  <c r="H38" i="34"/>
  <c r="F19" i="24" s="1"/>
  <c r="H38" i="26"/>
  <c r="F10" i="24" s="1"/>
  <c r="H38" i="30"/>
  <c r="F14" i="24" s="1"/>
  <c r="H38" i="33"/>
  <c r="F18" i="24" s="1"/>
  <c r="H37" i="37"/>
  <c r="F24" i="24" s="1"/>
  <c r="H37" i="25"/>
  <c r="H47" i="8" l="1"/>
  <c r="F16" i="24"/>
  <c r="H46" i="36"/>
  <c r="H49" i="36" s="1"/>
  <c r="H66" i="36" s="1"/>
  <c r="F22" i="24"/>
  <c r="H47" i="27"/>
  <c r="H50" i="27" s="1"/>
  <c r="H61" i="27" s="1"/>
  <c r="H62" i="27" s="1"/>
  <c r="H63" i="27" s="1"/>
  <c r="H64" i="27" s="1"/>
  <c r="H65" i="27" s="1"/>
  <c r="F11" i="24"/>
  <c r="H47" i="28"/>
  <c r="H50" i="28" s="1"/>
  <c r="F12" i="24"/>
  <c r="H47" i="1"/>
  <c r="H50" i="1" s="1"/>
  <c r="F9" i="24"/>
  <c r="H46" i="13"/>
  <c r="H49" i="13" s="1"/>
  <c r="H66" i="13" s="1"/>
  <c r="F21" i="24"/>
  <c r="H47" i="32"/>
  <c r="H50" i="32" s="1"/>
  <c r="H67" i="32" s="1"/>
  <c r="H68" i="32" s="1"/>
  <c r="F17" i="24"/>
  <c r="H47" i="35"/>
  <c r="H50" i="35" s="1"/>
  <c r="H61" i="35" s="1"/>
  <c r="F20" i="24"/>
  <c r="H45" i="17"/>
  <c r="H48" i="17" s="1"/>
  <c r="F25" i="24"/>
  <c r="H45" i="14"/>
  <c r="H48" i="14" s="1"/>
  <c r="H65" i="14" s="1"/>
  <c r="F23" i="24"/>
  <c r="H47" i="29"/>
  <c r="H50" i="29" s="1"/>
  <c r="H67" i="29" s="1"/>
  <c r="H68" i="29" s="1"/>
  <c r="H69" i="29" s="1"/>
  <c r="H70" i="29" s="1"/>
  <c r="F13" i="24"/>
  <c r="L49" i="31"/>
  <c r="N49" i="31" s="1"/>
  <c r="O49" i="31" s="1"/>
  <c r="K51" i="31"/>
  <c r="L51" i="31" s="1"/>
  <c r="N51" i="31" s="1"/>
  <c r="O51" i="31" s="1"/>
  <c r="K52" i="31"/>
  <c r="L52" i="31" s="1"/>
  <c r="N52" i="31" s="1"/>
  <c r="O52" i="31" s="1"/>
  <c r="L49" i="30"/>
  <c r="N49" i="30" s="1"/>
  <c r="O49" i="30" s="1"/>
  <c r="K51" i="30"/>
  <c r="L51" i="30" s="1"/>
  <c r="N51" i="30" s="1"/>
  <c r="O51" i="30" s="1"/>
  <c r="K52" i="30"/>
  <c r="L52" i="30" s="1"/>
  <c r="N52" i="30" s="1"/>
  <c r="O52" i="30" s="1"/>
  <c r="L49" i="29"/>
  <c r="N49" i="29" s="1"/>
  <c r="O49" i="29" s="1"/>
  <c r="K51" i="29"/>
  <c r="L51" i="29" s="1"/>
  <c r="N51" i="29" s="1"/>
  <c r="O51" i="29" s="1"/>
  <c r="K52" i="29"/>
  <c r="L52" i="29" s="1"/>
  <c r="N52" i="29" s="1"/>
  <c r="O52" i="29" s="1"/>
  <c r="K51" i="26"/>
  <c r="L51" i="26" s="1"/>
  <c r="N51" i="26" s="1"/>
  <c r="O51" i="26" s="1"/>
  <c r="L49" i="26"/>
  <c r="N49" i="26" s="1"/>
  <c r="O49" i="26" s="1"/>
  <c r="K52" i="26"/>
  <c r="L52" i="26" s="1"/>
  <c r="N52" i="26" s="1"/>
  <c r="O52" i="26" s="1"/>
  <c r="H60" i="38"/>
  <c r="H61" i="38" s="1"/>
  <c r="N44" i="40"/>
  <c r="O44" i="40" s="1"/>
  <c r="H49" i="40"/>
  <c r="H48" i="39"/>
  <c r="N43" i="39"/>
  <c r="O43" i="39" s="1"/>
  <c r="H67" i="38"/>
  <c r="H69" i="32"/>
  <c r="H70" i="32" s="1"/>
  <c r="H71" i="32" s="1"/>
  <c r="H50" i="8"/>
  <c r="H45" i="25"/>
  <c r="H47" i="34"/>
  <c r="H46" i="16"/>
  <c r="H45" i="37"/>
  <c r="H47" i="30"/>
  <c r="H47" i="31"/>
  <c r="H47" i="26"/>
  <c r="H47" i="33"/>
  <c r="H60" i="36" l="1"/>
  <c r="H67" i="27"/>
  <c r="H68" i="27" s="1"/>
  <c r="H69" i="27" s="1"/>
  <c r="H70" i="27" s="1"/>
  <c r="H71" i="27" s="1"/>
  <c r="H59" i="14"/>
  <c r="H61" i="32"/>
  <c r="H62" i="32" s="1"/>
  <c r="H71" i="29"/>
  <c r="H61" i="29"/>
  <c r="H62" i="29" s="1"/>
  <c r="H63" i="29" s="1"/>
  <c r="H64" i="29" s="1"/>
  <c r="H65" i="29" s="1"/>
  <c r="J13" i="24" s="1"/>
  <c r="H67" i="35"/>
  <c r="H68" i="35" s="1"/>
  <c r="H69" i="35" s="1"/>
  <c r="H60" i="40"/>
  <c r="H66" i="40"/>
  <c r="H59" i="39"/>
  <c r="H65" i="39"/>
  <c r="H62" i="38"/>
  <c r="H68" i="38"/>
  <c r="H60" i="13"/>
  <c r="H61" i="13" s="1"/>
  <c r="H62" i="13" s="1"/>
  <c r="H60" i="14"/>
  <c r="H61" i="14" s="1"/>
  <c r="H66" i="14"/>
  <c r="H67" i="14" s="1"/>
  <c r="H68" i="14" s="1"/>
  <c r="H69" i="14" s="1"/>
  <c r="J23" i="24" s="1"/>
  <c r="H61" i="1"/>
  <c r="H67" i="1"/>
  <c r="H67" i="8"/>
  <c r="H61" i="8"/>
  <c r="H61" i="28"/>
  <c r="H67" i="28"/>
  <c r="H68" i="28" s="1"/>
  <c r="H69" i="28" s="1"/>
  <c r="H65" i="17"/>
  <c r="H59" i="17"/>
  <c r="H60" i="17" s="1"/>
  <c r="H61" i="17" s="1"/>
  <c r="H67" i="36"/>
  <c r="H68" i="36" s="1"/>
  <c r="H62" i="35"/>
  <c r="H63" i="35" s="1"/>
  <c r="H50" i="31"/>
  <c r="H49" i="16"/>
  <c r="H61" i="36"/>
  <c r="H62" i="36" s="1"/>
  <c r="H67" i="13"/>
  <c r="H50" i="30"/>
  <c r="F27" i="24"/>
  <c r="H48" i="25"/>
  <c r="H48" i="37"/>
  <c r="H50" i="34"/>
  <c r="H50" i="33"/>
  <c r="H50" i="26"/>
  <c r="J11" i="24"/>
  <c r="H63" i="32" l="1"/>
  <c r="H64" i="32" s="1"/>
  <c r="H67" i="40"/>
  <c r="H61" i="40"/>
  <c r="H62" i="40" s="1"/>
  <c r="H60" i="39"/>
  <c r="H61" i="39" s="1"/>
  <c r="H66" i="39"/>
  <c r="H63" i="38"/>
  <c r="H62" i="14"/>
  <c r="H63" i="14" s="1"/>
  <c r="H62" i="17"/>
  <c r="H63" i="17" s="1"/>
  <c r="H66" i="17"/>
  <c r="H67" i="17" s="1"/>
  <c r="H70" i="28"/>
  <c r="H71" i="28" s="1"/>
  <c r="H68" i="1"/>
  <c r="H69" i="1" s="1"/>
  <c r="H62" i="8"/>
  <c r="H63" i="8" s="1"/>
  <c r="H68" i="8"/>
  <c r="H69" i="8" s="1"/>
  <c r="H70" i="8" s="1"/>
  <c r="H71" i="8" s="1"/>
  <c r="H62" i="28"/>
  <c r="H63" i="28" s="1"/>
  <c r="H62" i="1"/>
  <c r="H63" i="1" s="1"/>
  <c r="H64" i="35"/>
  <c r="H65" i="35" s="1"/>
  <c r="H59" i="25"/>
  <c r="H65" i="25"/>
  <c r="H69" i="36"/>
  <c r="H70" i="36" s="1"/>
  <c r="H67" i="33"/>
  <c r="H61" i="33"/>
  <c r="H65" i="37"/>
  <c r="H59" i="37"/>
  <c r="H61" i="31"/>
  <c r="H67" i="31"/>
  <c r="H61" i="26"/>
  <c r="H67" i="26"/>
  <c r="H66" i="16"/>
  <c r="H60" i="16"/>
  <c r="H63" i="13"/>
  <c r="H67" i="34"/>
  <c r="H61" i="34"/>
  <c r="H61" i="30"/>
  <c r="H67" i="30"/>
  <c r="H70" i="35"/>
  <c r="H71" i="35" s="1"/>
  <c r="H68" i="13"/>
  <c r="H63" i="36"/>
  <c r="H64" i="36" s="1"/>
  <c r="H65" i="32" l="1"/>
  <c r="J17" i="24" s="1"/>
  <c r="H63" i="40"/>
  <c r="H64" i="40" s="1"/>
  <c r="H68" i="40"/>
  <c r="H62" i="39"/>
  <c r="H67" i="39"/>
  <c r="N69" i="38"/>
  <c r="O69" i="38" s="1"/>
  <c r="H64" i="38"/>
  <c r="H70" i="38"/>
  <c r="H70" i="1"/>
  <c r="H71" i="1" s="1"/>
  <c r="H64" i="1"/>
  <c r="H65" i="1" s="1"/>
  <c r="J9" i="24" s="1"/>
  <c r="H68" i="17"/>
  <c r="H69" i="17" s="1"/>
  <c r="J25" i="24" s="1"/>
  <c r="H64" i="8"/>
  <c r="H65" i="8" s="1"/>
  <c r="J16" i="24" s="1"/>
  <c r="H64" i="28"/>
  <c r="H65" i="28" s="1"/>
  <c r="J12" i="24" s="1"/>
  <c r="J20" i="24"/>
  <c r="H68" i="30"/>
  <c r="H61" i="16"/>
  <c r="H62" i="16" s="1"/>
  <c r="H68" i="26"/>
  <c r="H69" i="26" s="1"/>
  <c r="H68" i="31"/>
  <c r="H69" i="31" s="1"/>
  <c r="H62" i="33"/>
  <c r="H63" i="33" s="1"/>
  <c r="J22" i="24"/>
  <c r="H62" i="34"/>
  <c r="H63" i="34" s="1"/>
  <c r="H67" i="16"/>
  <c r="H68" i="16" s="1"/>
  <c r="H62" i="31"/>
  <c r="H63" i="31" s="1"/>
  <c r="H60" i="37"/>
  <c r="H61" i="37" s="1"/>
  <c r="H68" i="33"/>
  <c r="H69" i="33" s="1"/>
  <c r="H62" i="30"/>
  <c r="H63" i="30" s="1"/>
  <c r="H68" i="34"/>
  <c r="H69" i="34" s="1"/>
  <c r="H62" i="26"/>
  <c r="H66" i="37"/>
  <c r="H66" i="25"/>
  <c r="H67" i="25" s="1"/>
  <c r="H69" i="13"/>
  <c r="H70" i="13" s="1"/>
  <c r="H64" i="13"/>
  <c r="H60" i="25"/>
  <c r="H61" i="25" s="1"/>
  <c r="H70" i="40" l="1"/>
  <c r="H63" i="39"/>
  <c r="H69" i="39"/>
  <c r="H68" i="25"/>
  <c r="H69" i="25" s="1"/>
  <c r="H70" i="34"/>
  <c r="H71" i="34" s="1"/>
  <c r="H64" i="30"/>
  <c r="H65" i="30" s="1"/>
  <c r="H62" i="37"/>
  <c r="H63" i="37" s="1"/>
  <c r="H69" i="16"/>
  <c r="H70" i="16" s="1"/>
  <c r="H64" i="34"/>
  <c r="H65" i="34" s="1"/>
  <c r="H70" i="26"/>
  <c r="H71" i="26" s="1"/>
  <c r="H63" i="16"/>
  <c r="H64" i="16" s="1"/>
  <c r="H62" i="25"/>
  <c r="H63" i="25" s="1"/>
  <c r="J21" i="24"/>
  <c r="H67" i="37"/>
  <c r="H63" i="26"/>
  <c r="H70" i="33"/>
  <c r="H71" i="33" s="1"/>
  <c r="H64" i="31"/>
  <c r="H65" i="31" s="1"/>
  <c r="H64" i="33"/>
  <c r="H65" i="33" s="1"/>
  <c r="H70" i="31"/>
  <c r="H69" i="30"/>
  <c r="N69" i="40" l="1"/>
  <c r="O69" i="40" s="1"/>
  <c r="N68" i="39"/>
  <c r="O68" i="39" s="1"/>
  <c r="J15" i="24"/>
  <c r="J14" i="24"/>
  <c r="H68" i="37"/>
  <c r="H69" i="37" s="1"/>
  <c r="J26" i="24"/>
  <c r="J27" i="24"/>
  <c r="H71" i="31"/>
  <c r="J18" i="24"/>
  <c r="H70" i="30"/>
  <c r="H64" i="26"/>
  <c r="J19" i="24"/>
  <c r="J24" i="24" l="1"/>
  <c r="H65" i="26"/>
  <c r="H71" i="30"/>
  <c r="J10" i="24" l="1"/>
  <c r="L41" i="25" l="1"/>
  <c r="N41" i="25" s="1"/>
  <c r="O41" i="25" s="1"/>
  <c r="L38" i="25"/>
  <c r="N38" i="25" s="1"/>
  <c r="O38" i="25" s="1"/>
  <c r="L38" i="17"/>
  <c r="N38" i="17" s="1"/>
  <c r="O38" i="17" s="1"/>
  <c r="L25" i="28"/>
  <c r="L40" i="29" l="1"/>
  <c r="N40" i="29" s="1"/>
  <c r="O40" i="29" s="1"/>
  <c r="L40" i="27"/>
  <c r="N40" i="27" s="1"/>
  <c r="O40" i="27" s="1"/>
  <c r="L40" i="30"/>
  <c r="N40" i="30" s="1"/>
  <c r="O40" i="30" s="1"/>
  <c r="L40" i="31"/>
  <c r="N40" i="31" s="1"/>
  <c r="O40" i="31" s="1"/>
  <c r="L40" i="28"/>
  <c r="N40" i="28" s="1"/>
  <c r="O40" i="28" s="1"/>
  <c r="L40" i="26"/>
  <c r="N40" i="26" s="1"/>
  <c r="O40" i="26" s="1"/>
  <c r="L40" i="1"/>
  <c r="N40" i="1" s="1"/>
  <c r="O40" i="1" s="1"/>
  <c r="L40" i="33"/>
  <c r="N40" i="33" s="1"/>
  <c r="O40" i="33" s="1"/>
  <c r="L40" i="8"/>
  <c r="N40" i="8" s="1"/>
  <c r="O40" i="8" s="1"/>
  <c r="L40" i="35"/>
  <c r="N40" i="35" s="1"/>
  <c r="O40" i="35" s="1"/>
  <c r="L40" i="34"/>
  <c r="N40" i="34" s="1"/>
  <c r="O40" i="34" s="1"/>
  <c r="L40" i="32"/>
  <c r="N40" i="32" s="1"/>
  <c r="O40" i="32" s="1"/>
  <c r="L42" i="38"/>
  <c r="N42" i="38" s="1"/>
  <c r="O42" i="38" s="1"/>
  <c r="L42" i="36"/>
  <c r="N42" i="36" s="1"/>
  <c r="O42" i="36" s="1"/>
  <c r="L42" i="13"/>
  <c r="N42" i="13" s="1"/>
  <c r="O42" i="13" s="1"/>
  <c r="L39" i="40"/>
  <c r="N39" i="40" s="1"/>
  <c r="O39" i="40" s="1"/>
  <c r="L39" i="16"/>
  <c r="N39" i="16" s="1"/>
  <c r="O39" i="16" s="1"/>
  <c r="L39" i="38"/>
  <c r="N39" i="38" s="1"/>
  <c r="O39" i="38" s="1"/>
  <c r="L39" i="13"/>
  <c r="N39" i="13" s="1"/>
  <c r="O39" i="13" s="1"/>
  <c r="L39" i="36"/>
  <c r="N39" i="36" s="1"/>
  <c r="O39" i="36" s="1"/>
  <c r="L41" i="39"/>
  <c r="N41" i="39" s="1"/>
  <c r="O41" i="39" s="1"/>
  <c r="L41" i="37"/>
  <c r="N41" i="37" s="1"/>
  <c r="O41" i="37" s="1"/>
  <c r="L41" i="14"/>
  <c r="N41" i="14" s="1"/>
  <c r="O41" i="14" s="1"/>
  <c r="L38" i="39"/>
  <c r="N38" i="39" s="1"/>
  <c r="O38" i="39" s="1"/>
  <c r="L38" i="14"/>
  <c r="N38" i="14" s="1"/>
  <c r="O38" i="14" s="1"/>
  <c r="L38" i="37"/>
  <c r="N38" i="37" s="1"/>
  <c r="O38" i="37" s="1"/>
  <c r="L42" i="40"/>
  <c r="N42" i="40" s="1"/>
  <c r="O42" i="40" s="1"/>
  <c r="L42" i="16"/>
  <c r="N42" i="16" s="1"/>
  <c r="O42" i="16" s="1"/>
  <c r="N25" i="28"/>
  <c r="L25" i="40"/>
  <c r="L25" i="32"/>
  <c r="L25" i="38"/>
  <c r="N25" i="32" l="1"/>
  <c r="N25" i="40"/>
  <c r="N25" i="38"/>
  <c r="L26" i="17" l="1"/>
  <c r="L26" i="25"/>
  <c r="L27" i="40" l="1"/>
  <c r="L27" i="16"/>
  <c r="N26" i="17"/>
  <c r="L27" i="33"/>
  <c r="L27" i="35"/>
  <c r="L27" i="34"/>
  <c r="L27" i="32"/>
  <c r="L27" i="8"/>
  <c r="L27" i="36"/>
  <c r="L27" i="38"/>
  <c r="L27" i="13"/>
  <c r="L26" i="39"/>
  <c r="L26" i="14"/>
  <c r="L26" i="37"/>
  <c r="N26" i="25"/>
  <c r="L27" i="31" l="1"/>
  <c r="L27" i="30"/>
  <c r="L27" i="1"/>
  <c r="L27" i="29"/>
  <c r="L27" i="27"/>
  <c r="L27" i="26"/>
  <c r="L27" i="28"/>
  <c r="N27" i="32"/>
  <c r="N27" i="38"/>
  <c r="N27" i="34"/>
  <c r="N26" i="14"/>
  <c r="N27" i="36"/>
  <c r="N27" i="35"/>
  <c r="N27" i="16"/>
  <c r="N27" i="13"/>
  <c r="N26" i="37"/>
  <c r="N26" i="39"/>
  <c r="N27" i="8"/>
  <c r="N27" i="33"/>
  <c r="N27" i="40"/>
  <c r="N27" i="28" l="1"/>
  <c r="N27" i="30"/>
  <c r="N27" i="29"/>
  <c r="N27" i="1"/>
  <c r="N27" i="26"/>
  <c r="N27" i="27"/>
  <c r="N27" i="31"/>
  <c r="L21" i="17" l="1"/>
  <c r="L21" i="25"/>
  <c r="N21" i="17" l="1"/>
  <c r="O21" i="17" s="1"/>
  <c r="L21" i="37"/>
  <c r="L21" i="39"/>
  <c r="L21" i="14"/>
  <c r="L21" i="16"/>
  <c r="L21" i="40"/>
  <c r="N21" i="25"/>
  <c r="O21" i="25" s="1"/>
  <c r="L21" i="33"/>
  <c r="L21" i="35"/>
  <c r="L21" i="34"/>
  <c r="L21" i="32"/>
  <c r="L21" i="8"/>
  <c r="L27" i="25"/>
  <c r="N27" i="25" s="1"/>
  <c r="O27" i="25" s="1"/>
  <c r="L27" i="17"/>
  <c r="N27" i="17" s="1"/>
  <c r="O27" i="17" s="1"/>
  <c r="L27" i="39" l="1"/>
  <c r="N27" i="39" s="1"/>
  <c r="O27" i="39" s="1"/>
  <c r="L27" i="37"/>
  <c r="N27" i="37" s="1"/>
  <c r="O27" i="37" s="1"/>
  <c r="L27" i="14"/>
  <c r="N27" i="14" s="1"/>
  <c r="O27" i="14" s="1"/>
  <c r="N21" i="35"/>
  <c r="O21" i="35" s="1"/>
  <c r="N21" i="39"/>
  <c r="O21" i="39" s="1"/>
  <c r="L28" i="34"/>
  <c r="N28" i="34" s="1"/>
  <c r="O28" i="34" s="1"/>
  <c r="L28" i="32"/>
  <c r="N28" i="32" s="1"/>
  <c r="O28" i="32" s="1"/>
  <c r="L28" i="35"/>
  <c r="N28" i="35" s="1"/>
  <c r="O28" i="35" s="1"/>
  <c r="L28" i="8"/>
  <c r="N28" i="8" s="1"/>
  <c r="O28" i="8" s="1"/>
  <c r="L28" i="33"/>
  <c r="N28" i="33" s="1"/>
  <c r="O28" i="33" s="1"/>
  <c r="N21" i="8"/>
  <c r="O21" i="8" s="1"/>
  <c r="N21" i="33"/>
  <c r="O21" i="33" s="1"/>
  <c r="N21" i="40"/>
  <c r="O21" i="40" s="1"/>
  <c r="N21" i="37"/>
  <c r="O21" i="37" s="1"/>
  <c r="N21" i="32"/>
  <c r="O21" i="32" s="1"/>
  <c r="L37" i="25"/>
  <c r="N21" i="16"/>
  <c r="O21" i="16" s="1"/>
  <c r="L37" i="17"/>
  <c r="G25" i="24" s="1"/>
  <c r="L28" i="16"/>
  <c r="N28" i="16" s="1"/>
  <c r="O28" i="16" s="1"/>
  <c r="L28" i="40"/>
  <c r="N28" i="40" s="1"/>
  <c r="O28" i="40" s="1"/>
  <c r="N21" i="34"/>
  <c r="O21" i="34" s="1"/>
  <c r="N21" i="14"/>
  <c r="O21" i="14" s="1"/>
  <c r="L38" i="32" l="1"/>
  <c r="L38" i="33"/>
  <c r="G18" i="24" s="1"/>
  <c r="L37" i="39"/>
  <c r="N37" i="39" s="1"/>
  <c r="O37" i="39" s="1"/>
  <c r="L38" i="8"/>
  <c r="L37" i="37"/>
  <c r="L37" i="14"/>
  <c r="L38" i="34"/>
  <c r="L38" i="16"/>
  <c r="G26" i="24" s="1"/>
  <c r="N37" i="25"/>
  <c r="O37" i="25" s="1"/>
  <c r="L38" i="40"/>
  <c r="N37" i="17"/>
  <c r="O37" i="17" s="1"/>
  <c r="L38" i="35"/>
  <c r="G20" i="24" s="1"/>
  <c r="N37" i="14" l="1"/>
  <c r="O37" i="14" s="1"/>
  <c r="G23" i="24"/>
  <c r="N37" i="37"/>
  <c r="O37" i="37" s="1"/>
  <c r="G24" i="24"/>
  <c r="N38" i="32"/>
  <c r="O38" i="32" s="1"/>
  <c r="G17" i="24"/>
  <c r="N38" i="8"/>
  <c r="O38" i="8" s="1"/>
  <c r="G16" i="24"/>
  <c r="N38" i="34"/>
  <c r="O38" i="34" s="1"/>
  <c r="G19" i="24"/>
  <c r="N38" i="33"/>
  <c r="O38" i="33" s="1"/>
  <c r="L21" i="29"/>
  <c r="L21" i="27"/>
  <c r="L21" i="31"/>
  <c r="L21" i="28"/>
  <c r="L21" i="26"/>
  <c r="L21" i="30"/>
  <c r="L21" i="1"/>
  <c r="N38" i="35"/>
  <c r="O38" i="35" s="1"/>
  <c r="N38" i="40"/>
  <c r="O38" i="40" s="1"/>
  <c r="N38" i="16"/>
  <c r="O38" i="16" s="1"/>
  <c r="N21" i="30" l="1"/>
  <c r="O21" i="30" s="1"/>
  <c r="N21" i="31"/>
  <c r="O21" i="31" s="1"/>
  <c r="N21" i="26"/>
  <c r="O21" i="26" s="1"/>
  <c r="N21" i="27"/>
  <c r="O21" i="27" s="1"/>
  <c r="N21" i="29"/>
  <c r="O21" i="29" s="1"/>
  <c r="N21" i="1"/>
  <c r="O21" i="1" s="1"/>
  <c r="N21" i="28"/>
  <c r="O21" i="28" s="1"/>
  <c r="L28" i="26" l="1"/>
  <c r="L28" i="29"/>
  <c r="L28" i="1"/>
  <c r="L28" i="31"/>
  <c r="L28" i="30"/>
  <c r="L28" i="27"/>
  <c r="L28" i="28"/>
  <c r="N28" i="28" l="1"/>
  <c r="O28" i="28" s="1"/>
  <c r="N28" i="27"/>
  <c r="O28" i="27" s="1"/>
  <c r="N28" i="1"/>
  <c r="O28" i="1" s="1"/>
  <c r="N28" i="30"/>
  <c r="O28" i="30" s="1"/>
  <c r="N28" i="29"/>
  <c r="O28" i="29" s="1"/>
  <c r="N28" i="31"/>
  <c r="O28" i="31" s="1"/>
  <c r="N28" i="26"/>
  <c r="O28" i="26" s="1"/>
  <c r="H25" i="24" l="1"/>
  <c r="I25" i="24" s="1"/>
  <c r="H18" i="24" l="1"/>
  <c r="I18" i="24" s="1"/>
  <c r="H17" i="24"/>
  <c r="I17" i="24" s="1"/>
  <c r="H24" i="24"/>
  <c r="I24" i="24" s="1"/>
  <c r="H16" i="24"/>
  <c r="I16" i="24" s="1"/>
  <c r="H19" i="24"/>
  <c r="I19" i="24" s="1"/>
  <c r="H20" i="24"/>
  <c r="I20" i="24" s="1"/>
  <c r="H23" i="24"/>
  <c r="I23" i="24" s="1"/>
  <c r="H26" i="24"/>
  <c r="I26" i="24" s="1"/>
  <c r="J24" i="29" l="1"/>
  <c r="L24" i="29" s="1"/>
  <c r="J24" i="28"/>
  <c r="L24" i="28" s="1"/>
  <c r="J24" i="1"/>
  <c r="L24" i="1" s="1"/>
  <c r="J24" i="26"/>
  <c r="L24" i="26" s="1"/>
  <c r="J24" i="31"/>
  <c r="L24" i="31" s="1"/>
  <c r="J24" i="27"/>
  <c r="L24" i="27" s="1"/>
  <c r="J24" i="30"/>
  <c r="L24" i="30" s="1"/>
  <c r="N24" i="26" l="1"/>
  <c r="L38" i="26"/>
  <c r="N24" i="30"/>
  <c r="L38" i="30"/>
  <c r="N24" i="1"/>
  <c r="L38" i="1"/>
  <c r="N24" i="27"/>
  <c r="L38" i="27"/>
  <c r="N24" i="28"/>
  <c r="L38" i="28"/>
  <c r="N24" i="31"/>
  <c r="L38" i="31"/>
  <c r="N24" i="29"/>
  <c r="L38" i="29"/>
  <c r="G13" i="24" l="1"/>
  <c r="H13" i="24" s="1"/>
  <c r="I13" i="24" s="1"/>
  <c r="N38" i="29"/>
  <c r="O38" i="29" s="1"/>
  <c r="G12" i="24"/>
  <c r="H12" i="24" s="1"/>
  <c r="I12" i="24" s="1"/>
  <c r="N38" i="28"/>
  <c r="O38" i="28" s="1"/>
  <c r="G10" i="24"/>
  <c r="H10" i="24" s="1"/>
  <c r="I10" i="24" s="1"/>
  <c r="N38" i="26"/>
  <c r="O38" i="26" s="1"/>
  <c r="G15" i="24"/>
  <c r="H15" i="24" s="1"/>
  <c r="I15" i="24" s="1"/>
  <c r="N38" i="31"/>
  <c r="O38" i="31" s="1"/>
  <c r="G11" i="24"/>
  <c r="H11" i="24" s="1"/>
  <c r="I11" i="24" s="1"/>
  <c r="N38" i="27"/>
  <c r="O38" i="27" s="1"/>
  <c r="G14" i="24"/>
  <c r="H14" i="24" s="1"/>
  <c r="I14" i="24" s="1"/>
  <c r="N38" i="30"/>
  <c r="O38" i="30" s="1"/>
  <c r="G9" i="24"/>
  <c r="H9" i="24" s="1"/>
  <c r="I9" i="24" s="1"/>
  <c r="N38" i="1"/>
  <c r="O38" i="1" s="1"/>
  <c r="J21" i="36" l="1"/>
  <c r="L21" i="36" s="1"/>
  <c r="J21" i="38"/>
  <c r="L21" i="38" s="1"/>
  <c r="J21" i="13"/>
  <c r="L21" i="13" s="1"/>
  <c r="J28" i="38" l="1"/>
  <c r="L28" i="38" s="1"/>
  <c r="N28" i="38" s="1"/>
  <c r="O28" i="38" s="1"/>
  <c r="J28" i="13"/>
  <c r="L28" i="13" s="1"/>
  <c r="N28" i="13" s="1"/>
  <c r="O28" i="13" s="1"/>
  <c r="J28" i="36"/>
  <c r="L28" i="36" s="1"/>
  <c r="N28" i="36" s="1"/>
  <c r="O28" i="36" s="1"/>
  <c r="N21" i="38"/>
  <c r="O21" i="38" s="1"/>
  <c r="L38" i="38"/>
  <c r="N21" i="13"/>
  <c r="O21" i="13" s="1"/>
  <c r="N21" i="36"/>
  <c r="O21" i="36" s="1"/>
  <c r="L38" i="13" l="1"/>
  <c r="N38" i="13" s="1"/>
  <c r="O38" i="13" s="1"/>
  <c r="L38" i="36"/>
  <c r="N38" i="36" s="1"/>
  <c r="O38" i="36" s="1"/>
  <c r="G21" i="24"/>
  <c r="H21" i="24" s="1"/>
  <c r="I21" i="24" s="1"/>
  <c r="N38" i="38"/>
  <c r="O38" i="38" s="1"/>
  <c r="G22" i="24" l="1"/>
  <c r="H22" i="24" s="1"/>
  <c r="I22" i="24" s="1"/>
  <c r="J42" i="25" l="1"/>
  <c r="L42" i="25" s="1"/>
  <c r="J42" i="17"/>
  <c r="L42" i="17" s="1"/>
  <c r="J42" i="39" l="1"/>
  <c r="L42" i="39" s="1"/>
  <c r="J42" i="37"/>
  <c r="L42" i="37" s="1"/>
  <c r="J42" i="14"/>
  <c r="L42" i="14" s="1"/>
  <c r="J43" i="16"/>
  <c r="L43" i="16" s="1"/>
  <c r="J43" i="40"/>
  <c r="L43" i="40" s="1"/>
  <c r="L45" i="17"/>
  <c r="N42" i="17"/>
  <c r="O42" i="17" s="1"/>
  <c r="J44" i="35"/>
  <c r="L44" i="35" s="1"/>
  <c r="J44" i="34"/>
  <c r="L44" i="34" s="1"/>
  <c r="J44" i="8"/>
  <c r="L44" i="8" s="1"/>
  <c r="J44" i="32"/>
  <c r="L44" i="32" s="1"/>
  <c r="J44" i="33"/>
  <c r="L44" i="33" s="1"/>
  <c r="J43" i="36"/>
  <c r="L43" i="36" s="1"/>
  <c r="J43" i="13"/>
  <c r="L43" i="13" s="1"/>
  <c r="J43" i="38"/>
  <c r="L43" i="38" s="1"/>
  <c r="N42" i="25"/>
  <c r="O42" i="25" s="1"/>
  <c r="L45" i="25"/>
  <c r="N44" i="33" l="1"/>
  <c r="O44" i="33" s="1"/>
  <c r="L47" i="33"/>
  <c r="L46" i="16"/>
  <c r="N43" i="16"/>
  <c r="O43" i="16" s="1"/>
  <c r="N44" i="32"/>
  <c r="O44" i="32" s="1"/>
  <c r="L47" i="32"/>
  <c r="L45" i="14"/>
  <c r="N42" i="14"/>
  <c r="O42" i="14" s="1"/>
  <c r="N43" i="13"/>
  <c r="O43" i="13" s="1"/>
  <c r="L46" i="13"/>
  <c r="N44" i="8"/>
  <c r="O44" i="8" s="1"/>
  <c r="L47" i="8"/>
  <c r="N45" i="17"/>
  <c r="O45" i="17" s="1"/>
  <c r="L48" i="17"/>
  <c r="L45" i="37"/>
  <c r="N42" i="37"/>
  <c r="O42" i="37" s="1"/>
  <c r="L47" i="35"/>
  <c r="N44" i="35"/>
  <c r="O44" i="35" s="1"/>
  <c r="N43" i="38"/>
  <c r="O43" i="38" s="1"/>
  <c r="L46" i="38"/>
  <c r="J44" i="1"/>
  <c r="L44" i="1" s="1"/>
  <c r="J44" i="27"/>
  <c r="L44" i="27" s="1"/>
  <c r="J44" i="31"/>
  <c r="L44" i="31" s="1"/>
  <c r="J44" i="30"/>
  <c r="L44" i="30" s="1"/>
  <c r="J44" i="28"/>
  <c r="L44" i="28" s="1"/>
  <c r="J44" i="26"/>
  <c r="L44" i="26" s="1"/>
  <c r="J44" i="29"/>
  <c r="L44" i="29" s="1"/>
  <c r="G27" i="24"/>
  <c r="H27" i="24" s="1"/>
  <c r="I27" i="24" s="1"/>
  <c r="L48" i="25"/>
  <c r="N45" i="25"/>
  <c r="O45" i="25" s="1"/>
  <c r="N43" i="36"/>
  <c r="O43" i="36" s="1"/>
  <c r="L46" i="36"/>
  <c r="L47" i="34"/>
  <c r="N44" i="34"/>
  <c r="O44" i="34" s="1"/>
  <c r="L46" i="40"/>
  <c r="N43" i="40"/>
  <c r="O43" i="40" s="1"/>
  <c r="L45" i="39"/>
  <c r="N42" i="39"/>
  <c r="O42" i="39" s="1"/>
  <c r="N46" i="36" l="1"/>
  <c r="O46" i="36" s="1"/>
  <c r="L49" i="36"/>
  <c r="N44" i="30"/>
  <c r="O44" i="30" s="1"/>
  <c r="L47" i="30"/>
  <c r="N46" i="40"/>
  <c r="O46" i="40" s="1"/>
  <c r="L49" i="40"/>
  <c r="N44" i="31"/>
  <c r="O44" i="31" s="1"/>
  <c r="L47" i="31"/>
  <c r="N45" i="37"/>
  <c r="O45" i="37" s="1"/>
  <c r="L48" i="37"/>
  <c r="N45" i="14"/>
  <c r="O45" i="14" s="1"/>
  <c r="L48" i="14"/>
  <c r="L49" i="16"/>
  <c r="N46" i="16"/>
  <c r="O46" i="16" s="1"/>
  <c r="N44" i="26"/>
  <c r="O44" i="26" s="1"/>
  <c r="L47" i="26"/>
  <c r="L47" i="27"/>
  <c r="N44" i="27"/>
  <c r="O44" i="27" s="1"/>
  <c r="L59" i="17"/>
  <c r="L65" i="17"/>
  <c r="N48" i="17"/>
  <c r="O48" i="17" s="1"/>
  <c r="L49" i="13"/>
  <c r="N46" i="13"/>
  <c r="O46" i="13" s="1"/>
  <c r="L50" i="32"/>
  <c r="N47" i="32"/>
  <c r="O47" i="32" s="1"/>
  <c r="N47" i="33"/>
  <c r="O47" i="33" s="1"/>
  <c r="L50" i="33"/>
  <c r="L49" i="38"/>
  <c r="N46" i="38"/>
  <c r="O46" i="38" s="1"/>
  <c r="N47" i="8"/>
  <c r="O47" i="8" s="1"/>
  <c r="L50" i="8"/>
  <c r="N44" i="29"/>
  <c r="O44" i="29" s="1"/>
  <c r="L47" i="29"/>
  <c r="N45" i="39"/>
  <c r="O45" i="39" s="1"/>
  <c r="L48" i="39"/>
  <c r="L50" i="34"/>
  <c r="N47" i="34"/>
  <c r="O47" i="34" s="1"/>
  <c r="L59" i="25"/>
  <c r="N48" i="25"/>
  <c r="O48" i="25" s="1"/>
  <c r="L65" i="25"/>
  <c r="N44" i="28"/>
  <c r="O44" i="28" s="1"/>
  <c r="L47" i="28"/>
  <c r="N44" i="1"/>
  <c r="O44" i="1" s="1"/>
  <c r="L47" i="1"/>
  <c r="N47" i="35"/>
  <c r="O47" i="35" s="1"/>
  <c r="L50" i="35"/>
  <c r="L59" i="39" l="1"/>
  <c r="N48" i="39"/>
  <c r="O48" i="39" s="1"/>
  <c r="L65" i="39"/>
  <c r="L67" i="33"/>
  <c r="L61" i="33"/>
  <c r="N50" i="33"/>
  <c r="O50" i="33" s="1"/>
  <c r="L61" i="17"/>
  <c r="N59" i="17"/>
  <c r="O59" i="17" s="1"/>
  <c r="L60" i="17"/>
  <c r="N60" i="17" s="1"/>
  <c r="O60" i="17" s="1"/>
  <c r="N50" i="35"/>
  <c r="O50" i="35" s="1"/>
  <c r="L61" i="35"/>
  <c r="L67" i="35"/>
  <c r="L60" i="25"/>
  <c r="N60" i="25" s="1"/>
  <c r="O60" i="25" s="1"/>
  <c r="N59" i="25"/>
  <c r="O59" i="25" s="1"/>
  <c r="L61" i="25"/>
  <c r="N49" i="13"/>
  <c r="O49" i="13" s="1"/>
  <c r="L60" i="13"/>
  <c r="L66" i="13"/>
  <c r="L65" i="37"/>
  <c r="L59" i="37"/>
  <c r="N48" i="37"/>
  <c r="O48" i="37" s="1"/>
  <c r="N49" i="36"/>
  <c r="O49" i="36" s="1"/>
  <c r="L66" i="36"/>
  <c r="L60" i="36"/>
  <c r="L50" i="29"/>
  <c r="N47" i="29"/>
  <c r="O47" i="29" s="1"/>
  <c r="L50" i="1"/>
  <c r="N47" i="1"/>
  <c r="O47" i="1" s="1"/>
  <c r="L66" i="25"/>
  <c r="N66" i="25" s="1"/>
  <c r="O66" i="25" s="1"/>
  <c r="N65" i="25"/>
  <c r="O65" i="25" s="1"/>
  <c r="L67" i="25"/>
  <c r="L67" i="34"/>
  <c r="L61" i="34"/>
  <c r="N50" i="34"/>
  <c r="O50" i="34" s="1"/>
  <c r="L60" i="38"/>
  <c r="N49" i="38"/>
  <c r="O49" i="38" s="1"/>
  <c r="L66" i="38"/>
  <c r="N50" i="32"/>
  <c r="O50" i="32" s="1"/>
  <c r="L61" i="32"/>
  <c r="L67" i="32"/>
  <c r="L67" i="17"/>
  <c r="L66" i="17"/>
  <c r="N66" i="17" s="1"/>
  <c r="O66" i="17" s="1"/>
  <c r="N65" i="17"/>
  <c r="O65" i="17" s="1"/>
  <c r="L50" i="26"/>
  <c r="N47" i="26"/>
  <c r="O47" i="26" s="1"/>
  <c r="L65" i="14"/>
  <c r="L59" i="14"/>
  <c r="N48" i="14"/>
  <c r="O48" i="14" s="1"/>
  <c r="L50" i="31"/>
  <c r="N47" i="31"/>
  <c r="O47" i="31" s="1"/>
  <c r="L50" i="30"/>
  <c r="N47" i="30"/>
  <c r="O47" i="30" s="1"/>
  <c r="L61" i="8"/>
  <c r="N50" i="8"/>
  <c r="O50" i="8" s="1"/>
  <c r="L67" i="8"/>
  <c r="L50" i="28"/>
  <c r="N47" i="28"/>
  <c r="O47" i="28" s="1"/>
  <c r="N49" i="40"/>
  <c r="O49" i="40" s="1"/>
  <c r="L60" i="40"/>
  <c r="L66" i="40"/>
  <c r="L50" i="27"/>
  <c r="N47" i="27"/>
  <c r="O47" i="27" s="1"/>
  <c r="L66" i="16"/>
  <c r="L60" i="16"/>
  <c r="N49" i="16"/>
  <c r="O49" i="16" s="1"/>
  <c r="L67" i="40" l="1"/>
  <c r="N67" i="40" s="1"/>
  <c r="O67" i="40" s="1"/>
  <c r="N66" i="40"/>
  <c r="O66" i="40" s="1"/>
  <c r="L68" i="40"/>
  <c r="L61" i="26"/>
  <c r="L67" i="26"/>
  <c r="N50" i="26"/>
  <c r="O50" i="26" s="1"/>
  <c r="L60" i="37"/>
  <c r="N60" i="37" s="1"/>
  <c r="O60" i="37" s="1"/>
  <c r="N59" i="37"/>
  <c r="O59" i="37" s="1"/>
  <c r="N67" i="35"/>
  <c r="O67" i="35" s="1"/>
  <c r="L68" i="35"/>
  <c r="N68" i="35" s="1"/>
  <c r="O68" i="35" s="1"/>
  <c r="L68" i="33"/>
  <c r="N68" i="33" s="1"/>
  <c r="O68" i="33" s="1"/>
  <c r="N67" i="33"/>
  <c r="O67" i="33" s="1"/>
  <c r="L61" i="40"/>
  <c r="N61" i="40" s="1"/>
  <c r="O61" i="40" s="1"/>
  <c r="N60" i="40"/>
  <c r="O60" i="40" s="1"/>
  <c r="L61" i="30"/>
  <c r="N50" i="30"/>
  <c r="O50" i="30" s="1"/>
  <c r="L67" i="30"/>
  <c r="L61" i="38"/>
  <c r="N61" i="38" s="1"/>
  <c r="O61" i="38" s="1"/>
  <c r="N60" i="38"/>
  <c r="O60" i="38" s="1"/>
  <c r="L62" i="38"/>
  <c r="N50" i="1"/>
  <c r="O50" i="1" s="1"/>
  <c r="L61" i="1"/>
  <c r="L67" i="1"/>
  <c r="L67" i="36"/>
  <c r="N67" i="36" s="1"/>
  <c r="O67" i="36" s="1"/>
  <c r="N66" i="36"/>
  <c r="O66" i="36" s="1"/>
  <c r="N61" i="25"/>
  <c r="O61" i="25" s="1"/>
  <c r="L62" i="25"/>
  <c r="N62" i="25" s="1"/>
  <c r="O62" i="25" s="1"/>
  <c r="N61" i="35"/>
  <c r="O61" i="35" s="1"/>
  <c r="L62" i="35"/>
  <c r="N62" i="35" s="1"/>
  <c r="O62" i="35" s="1"/>
  <c r="N61" i="17"/>
  <c r="O61" i="17" s="1"/>
  <c r="L62" i="17"/>
  <c r="N62" i="17" s="1"/>
  <c r="O62" i="17" s="1"/>
  <c r="L63" i="17"/>
  <c r="N63" i="17" s="1"/>
  <c r="O63" i="17" s="1"/>
  <c r="L66" i="39"/>
  <c r="N66" i="39" s="1"/>
  <c r="O66" i="39" s="1"/>
  <c r="N65" i="39"/>
  <c r="O65" i="39" s="1"/>
  <c r="L66" i="14"/>
  <c r="N66" i="14" s="1"/>
  <c r="O66" i="14" s="1"/>
  <c r="L67" i="14"/>
  <c r="N65" i="14"/>
  <c r="O65" i="14" s="1"/>
  <c r="N66" i="13"/>
  <c r="O66" i="13" s="1"/>
  <c r="L67" i="13"/>
  <c r="N67" i="13" s="1"/>
  <c r="O67" i="13" s="1"/>
  <c r="L68" i="13"/>
  <c r="L61" i="16"/>
  <c r="N61" i="16" s="1"/>
  <c r="O61" i="16" s="1"/>
  <c r="N60" i="16"/>
  <c r="O60" i="16" s="1"/>
  <c r="N50" i="28"/>
  <c r="O50" i="28" s="1"/>
  <c r="L61" i="28"/>
  <c r="L67" i="28"/>
  <c r="N67" i="32"/>
  <c r="O67" i="32" s="1"/>
  <c r="L68" i="32"/>
  <c r="N68" i="32" s="1"/>
  <c r="O68" i="32" s="1"/>
  <c r="N67" i="34"/>
  <c r="O67" i="34" s="1"/>
  <c r="L68" i="34"/>
  <c r="N68" i="34" s="1"/>
  <c r="O68" i="34" s="1"/>
  <c r="L61" i="36"/>
  <c r="N61" i="36" s="1"/>
  <c r="O61" i="36" s="1"/>
  <c r="N60" i="36"/>
  <c r="O60" i="36" s="1"/>
  <c r="L62" i="36"/>
  <c r="L67" i="16"/>
  <c r="N67" i="16" s="1"/>
  <c r="O67" i="16" s="1"/>
  <c r="N66" i="16"/>
  <c r="O66" i="16" s="1"/>
  <c r="N67" i="8"/>
  <c r="O67" i="8" s="1"/>
  <c r="L68" i="8"/>
  <c r="N68" i="8" s="1"/>
  <c r="O68" i="8" s="1"/>
  <c r="N59" i="14"/>
  <c r="O59" i="14" s="1"/>
  <c r="L60" i="14"/>
  <c r="N60" i="14" s="1"/>
  <c r="O60" i="14" s="1"/>
  <c r="L61" i="14"/>
  <c r="L62" i="32"/>
  <c r="N62" i="32" s="1"/>
  <c r="O62" i="32" s="1"/>
  <c r="N61" i="32"/>
  <c r="O61" i="32" s="1"/>
  <c r="N67" i="25"/>
  <c r="O67" i="25" s="1"/>
  <c r="L68" i="25"/>
  <c r="N68" i="25" s="1"/>
  <c r="O68" i="25" s="1"/>
  <c r="L66" i="37"/>
  <c r="N66" i="37" s="1"/>
  <c r="O66" i="37" s="1"/>
  <c r="N65" i="37"/>
  <c r="O65" i="37" s="1"/>
  <c r="L67" i="27"/>
  <c r="N50" i="27"/>
  <c r="O50" i="27" s="1"/>
  <c r="L61" i="27"/>
  <c r="N61" i="8"/>
  <c r="O61" i="8" s="1"/>
  <c r="L62" i="8"/>
  <c r="N62" i="8" s="1"/>
  <c r="O62" i="8" s="1"/>
  <c r="N50" i="31"/>
  <c r="O50" i="31" s="1"/>
  <c r="L61" i="31"/>
  <c r="L67" i="31"/>
  <c r="L68" i="17"/>
  <c r="N68" i="17" s="1"/>
  <c r="O68" i="17" s="1"/>
  <c r="N67" i="17"/>
  <c r="O67" i="17" s="1"/>
  <c r="L67" i="38"/>
  <c r="N67" i="38" s="1"/>
  <c r="O67" i="38" s="1"/>
  <c r="N66" i="38"/>
  <c r="O66" i="38" s="1"/>
  <c r="L68" i="38"/>
  <c r="L62" i="34"/>
  <c r="N62" i="34" s="1"/>
  <c r="O62" i="34" s="1"/>
  <c r="N61" i="34"/>
  <c r="O61" i="34" s="1"/>
  <c r="N50" i="29"/>
  <c r="O50" i="29" s="1"/>
  <c r="L67" i="29"/>
  <c r="L61" i="29"/>
  <c r="N60" i="13"/>
  <c r="O60" i="13" s="1"/>
  <c r="L61" i="13"/>
  <c r="N61" i="13" s="1"/>
  <c r="O61" i="13" s="1"/>
  <c r="L62" i="33"/>
  <c r="N62" i="33" s="1"/>
  <c r="O62" i="33" s="1"/>
  <c r="N61" i="33"/>
  <c r="O61" i="33" s="1"/>
  <c r="L60" i="39"/>
  <c r="N60" i="39" s="1"/>
  <c r="O60" i="39" s="1"/>
  <c r="N59" i="39"/>
  <c r="O59" i="39" s="1"/>
  <c r="L63" i="34" l="1"/>
  <c r="L61" i="39"/>
  <c r="L63" i="33"/>
  <c r="L64" i="33" s="1"/>
  <c r="N64" i="33" s="1"/>
  <c r="O64" i="33" s="1"/>
  <c r="L67" i="37"/>
  <c r="L68" i="37" s="1"/>
  <c r="N68" i="37" s="1"/>
  <c r="O68" i="37" s="1"/>
  <c r="L69" i="25"/>
  <c r="N69" i="25" s="1"/>
  <c r="O69" i="25" s="1"/>
  <c r="L63" i="35"/>
  <c r="L69" i="35"/>
  <c r="N69" i="35" s="1"/>
  <c r="O69" i="35" s="1"/>
  <c r="L63" i="32"/>
  <c r="L64" i="32" s="1"/>
  <c r="N64" i="32" s="1"/>
  <c r="O64" i="32" s="1"/>
  <c r="L69" i="33"/>
  <c r="L69" i="34"/>
  <c r="L70" i="34" s="1"/>
  <c r="N61" i="27"/>
  <c r="O61" i="27" s="1"/>
  <c r="L62" i="27"/>
  <c r="N62" i="27" s="1"/>
  <c r="O62" i="27" s="1"/>
  <c r="L62" i="14"/>
  <c r="N62" i="14" s="1"/>
  <c r="O62" i="14" s="1"/>
  <c r="N61" i="14"/>
  <c r="O61" i="14" s="1"/>
  <c r="L64" i="35"/>
  <c r="N64" i="35" s="1"/>
  <c r="O64" i="35" s="1"/>
  <c r="L63" i="38"/>
  <c r="N63" i="38" s="1"/>
  <c r="O63" i="38" s="1"/>
  <c r="N62" i="38"/>
  <c r="O62" i="38" s="1"/>
  <c r="L62" i="26"/>
  <c r="N62" i="26" s="1"/>
  <c r="O62" i="26" s="1"/>
  <c r="N61" i="26"/>
  <c r="O61" i="26" s="1"/>
  <c r="L63" i="26"/>
  <c r="N63" i="34"/>
  <c r="O63" i="34" s="1"/>
  <c r="L64" i="34"/>
  <c r="N64" i="34" s="1"/>
  <c r="O64" i="34" s="1"/>
  <c r="L65" i="34"/>
  <c r="N69" i="33"/>
  <c r="O69" i="33" s="1"/>
  <c r="L70" i="33"/>
  <c r="N70" i="33" s="1"/>
  <c r="O70" i="33" s="1"/>
  <c r="N68" i="40"/>
  <c r="O68" i="40" s="1"/>
  <c r="L70" i="40"/>
  <c r="N70" i="40" s="1"/>
  <c r="O70" i="40" s="1"/>
  <c r="N61" i="29"/>
  <c r="O61" i="29" s="1"/>
  <c r="L62" i="29"/>
  <c r="N62" i="29" s="1"/>
  <c r="O62" i="29" s="1"/>
  <c r="L68" i="31"/>
  <c r="N68" i="31" s="1"/>
  <c r="O68" i="31" s="1"/>
  <c r="N67" i="31"/>
  <c r="O67" i="31" s="1"/>
  <c r="L68" i="27"/>
  <c r="N68" i="27" s="1"/>
  <c r="O68" i="27" s="1"/>
  <c r="N67" i="27"/>
  <c r="O67" i="27" s="1"/>
  <c r="L68" i="28"/>
  <c r="N68" i="28" s="1"/>
  <c r="O68" i="28" s="1"/>
  <c r="N67" i="28"/>
  <c r="O67" i="28" s="1"/>
  <c r="L69" i="28"/>
  <c r="L62" i="16"/>
  <c r="L67" i="39"/>
  <c r="L68" i="36"/>
  <c r="N61" i="1"/>
  <c r="O61" i="1" s="1"/>
  <c r="L62" i="1"/>
  <c r="N62" i="1" s="1"/>
  <c r="O62" i="1" s="1"/>
  <c r="L62" i="40"/>
  <c r="L70" i="38"/>
  <c r="N70" i="38" s="1"/>
  <c r="O70" i="38" s="1"/>
  <c r="N68" i="38"/>
  <c r="O68" i="38" s="1"/>
  <c r="N68" i="13"/>
  <c r="O68" i="13" s="1"/>
  <c r="L69" i="13"/>
  <c r="N69" i="13" s="1"/>
  <c r="O69" i="13" s="1"/>
  <c r="L70" i="13"/>
  <c r="N67" i="14"/>
  <c r="O67" i="14" s="1"/>
  <c r="L68" i="14"/>
  <c r="N68" i="14" s="1"/>
  <c r="O68" i="14" s="1"/>
  <c r="N63" i="33"/>
  <c r="O63" i="33" s="1"/>
  <c r="N63" i="32"/>
  <c r="O63" i="32" s="1"/>
  <c r="N62" i="36"/>
  <c r="O62" i="36" s="1"/>
  <c r="L63" i="36"/>
  <c r="N63" i="36" s="1"/>
  <c r="O63" i="36" s="1"/>
  <c r="L68" i="1"/>
  <c r="N68" i="1" s="1"/>
  <c r="O68" i="1" s="1"/>
  <c r="N67" i="1"/>
  <c r="O67" i="1" s="1"/>
  <c r="L62" i="30"/>
  <c r="N62" i="30" s="1"/>
  <c r="O62" i="30" s="1"/>
  <c r="N61" i="30"/>
  <c r="O61" i="30" s="1"/>
  <c r="L62" i="39"/>
  <c r="N62" i="39" s="1"/>
  <c r="O62" i="39" s="1"/>
  <c r="N61" i="39"/>
  <c r="O61" i="39" s="1"/>
  <c r="L62" i="13"/>
  <c r="L68" i="29"/>
  <c r="N68" i="29" s="1"/>
  <c r="O68" i="29" s="1"/>
  <c r="N67" i="29"/>
  <c r="O67" i="29" s="1"/>
  <c r="L69" i="17"/>
  <c r="N61" i="31"/>
  <c r="O61" i="31" s="1"/>
  <c r="L62" i="31"/>
  <c r="N62" i="31" s="1"/>
  <c r="O62" i="31" s="1"/>
  <c r="L63" i="8"/>
  <c r="K27" i="24"/>
  <c r="L27" i="24" s="1"/>
  <c r="M27" i="24" s="1"/>
  <c r="L69" i="8"/>
  <c r="L68" i="16"/>
  <c r="L69" i="32"/>
  <c r="L62" i="28"/>
  <c r="N62" i="28" s="1"/>
  <c r="O62" i="28" s="1"/>
  <c r="N61" i="28"/>
  <c r="O61" i="28" s="1"/>
  <c r="L63" i="25"/>
  <c r="N63" i="25" s="1"/>
  <c r="O63" i="25" s="1"/>
  <c r="N67" i="30"/>
  <c r="O67" i="30" s="1"/>
  <c r="L68" i="30"/>
  <c r="N68" i="30" s="1"/>
  <c r="O68" i="30" s="1"/>
  <c r="L61" i="37"/>
  <c r="L68" i="26"/>
  <c r="N68" i="26" s="1"/>
  <c r="O68" i="26" s="1"/>
  <c r="N67" i="26"/>
  <c r="O67" i="26" s="1"/>
  <c r="L64" i="38" l="1"/>
  <c r="N64" i="38" s="1"/>
  <c r="O64" i="38" s="1"/>
  <c r="N67" i="37"/>
  <c r="O67" i="37" s="1"/>
  <c r="L70" i="35"/>
  <c r="N70" i="35" s="1"/>
  <c r="O70" i="35" s="1"/>
  <c r="L65" i="35"/>
  <c r="N65" i="35" s="1"/>
  <c r="O65" i="35" s="1"/>
  <c r="N69" i="34"/>
  <c r="O69" i="34" s="1"/>
  <c r="N70" i="34"/>
  <c r="O70" i="34" s="1"/>
  <c r="L71" i="34"/>
  <c r="N71" i="34" s="1"/>
  <c r="O71" i="34" s="1"/>
  <c r="L69" i="26"/>
  <c r="L70" i="26" s="1"/>
  <c r="N70" i="26" s="1"/>
  <c r="O70" i="26" s="1"/>
  <c r="L69" i="31"/>
  <c r="N69" i="31" s="1"/>
  <c r="O69" i="31" s="1"/>
  <c r="N63" i="35"/>
  <c r="O63" i="35" s="1"/>
  <c r="L63" i="27"/>
  <c r="L64" i="27" s="1"/>
  <c r="N64" i="27" s="1"/>
  <c r="O64" i="27" s="1"/>
  <c r="L69" i="1"/>
  <c r="L70" i="1" s="1"/>
  <c r="N70" i="1" s="1"/>
  <c r="O70" i="1" s="1"/>
  <c r="L70" i="31"/>
  <c r="N70" i="31" s="1"/>
  <c r="O70" i="31" s="1"/>
  <c r="L62" i="37"/>
  <c r="N62" i="37" s="1"/>
  <c r="O62" i="37" s="1"/>
  <c r="N61" i="37"/>
  <c r="O61" i="37" s="1"/>
  <c r="L69" i="27"/>
  <c r="N65" i="34"/>
  <c r="O65" i="34" s="1"/>
  <c r="K19" i="24"/>
  <c r="L19" i="24" s="1"/>
  <c r="M19" i="24" s="1"/>
  <c r="N63" i="27"/>
  <c r="O63" i="27" s="1"/>
  <c r="L69" i="30"/>
  <c r="N68" i="16"/>
  <c r="O68" i="16" s="1"/>
  <c r="L69" i="16"/>
  <c r="N69" i="16" s="1"/>
  <c r="O69" i="16" s="1"/>
  <c r="L64" i="8"/>
  <c r="N64" i="8" s="1"/>
  <c r="O64" i="8" s="1"/>
  <c r="N63" i="8"/>
  <c r="O63" i="8" s="1"/>
  <c r="K25" i="24"/>
  <c r="L25" i="24" s="1"/>
  <c r="M25" i="24" s="1"/>
  <c r="N69" i="17"/>
  <c r="O69" i="17" s="1"/>
  <c r="L63" i="13"/>
  <c r="N63" i="13" s="1"/>
  <c r="O63" i="13" s="1"/>
  <c r="N62" i="13"/>
  <c r="O62" i="13" s="1"/>
  <c r="L64" i="13"/>
  <c r="N64" i="13" s="1"/>
  <c r="O64" i="13" s="1"/>
  <c r="L63" i="30"/>
  <c r="L65" i="33"/>
  <c r="L63" i="1"/>
  <c r="N67" i="39"/>
  <c r="O67" i="39" s="1"/>
  <c r="L69" i="39"/>
  <c r="N69" i="39" s="1"/>
  <c r="O69" i="39" s="1"/>
  <c r="L71" i="33"/>
  <c r="N71" i="33" s="1"/>
  <c r="O71" i="33" s="1"/>
  <c r="L69" i="37"/>
  <c r="K21" i="24"/>
  <c r="L21" i="24" s="1"/>
  <c r="M21" i="24" s="1"/>
  <c r="N70" i="13"/>
  <c r="O70" i="13" s="1"/>
  <c r="N69" i="28"/>
  <c r="O69" i="28" s="1"/>
  <c r="L70" i="28"/>
  <c r="N70" i="28" s="1"/>
  <c r="O70" i="28" s="1"/>
  <c r="L71" i="28"/>
  <c r="N71" i="28" s="1"/>
  <c r="O71" i="28" s="1"/>
  <c r="L64" i="26"/>
  <c r="N64" i="26" s="1"/>
  <c r="O64" i="26" s="1"/>
  <c r="N63" i="26"/>
  <c r="O63" i="26" s="1"/>
  <c r="L70" i="32"/>
  <c r="N70" i="32" s="1"/>
  <c r="O70" i="32" s="1"/>
  <c r="N69" i="32"/>
  <c r="O69" i="32" s="1"/>
  <c r="L64" i="36"/>
  <c r="N64" i="36" s="1"/>
  <c r="O64" i="36" s="1"/>
  <c r="N62" i="40"/>
  <c r="O62" i="40" s="1"/>
  <c r="L63" i="40"/>
  <c r="N63" i="40" s="1"/>
  <c r="O63" i="40" s="1"/>
  <c r="L69" i="36"/>
  <c r="N69" i="36" s="1"/>
  <c r="O69" i="36" s="1"/>
  <c r="N68" i="36"/>
  <c r="O68" i="36" s="1"/>
  <c r="L70" i="36"/>
  <c r="L63" i="28"/>
  <c r="L70" i="8"/>
  <c r="N70" i="8" s="1"/>
  <c r="O70" i="8" s="1"/>
  <c r="N69" i="8"/>
  <c r="O69" i="8" s="1"/>
  <c r="L63" i="31"/>
  <c r="L69" i="29"/>
  <c r="L63" i="39"/>
  <c r="N63" i="39" s="1"/>
  <c r="O63" i="39" s="1"/>
  <c r="L65" i="32"/>
  <c r="L69" i="14"/>
  <c r="N62" i="16"/>
  <c r="O62" i="16" s="1"/>
  <c r="L63" i="16"/>
  <c r="N63" i="16" s="1"/>
  <c r="O63" i="16" s="1"/>
  <c r="L63" i="29"/>
  <c r="L63" i="14"/>
  <c r="N63" i="14" s="1"/>
  <c r="O63" i="14" s="1"/>
  <c r="L71" i="35" l="1"/>
  <c r="N71" i="35" s="1"/>
  <c r="O71" i="35" s="1"/>
  <c r="K20" i="24"/>
  <c r="L20" i="24" s="1"/>
  <c r="M20" i="24" s="1"/>
  <c r="N69" i="1"/>
  <c r="O69" i="1" s="1"/>
  <c r="L70" i="16"/>
  <c r="N70" i="16" s="1"/>
  <c r="O70" i="16" s="1"/>
  <c r="L71" i="1"/>
  <c r="N71" i="1" s="1"/>
  <c r="O71" i="1" s="1"/>
  <c r="L71" i="26"/>
  <c r="N71" i="26" s="1"/>
  <c r="O71" i="26" s="1"/>
  <c r="L65" i="27"/>
  <c r="N65" i="27" s="1"/>
  <c r="O65" i="27" s="1"/>
  <c r="N69" i="26"/>
  <c r="O69" i="26" s="1"/>
  <c r="N63" i="29"/>
  <c r="O63" i="29" s="1"/>
  <c r="L64" i="29"/>
  <c r="N64" i="29" s="1"/>
  <c r="O64" i="29" s="1"/>
  <c r="N69" i="14"/>
  <c r="O69" i="14" s="1"/>
  <c r="K23" i="24"/>
  <c r="L23" i="24" s="1"/>
  <c r="M23" i="24" s="1"/>
  <c r="L64" i="31"/>
  <c r="N64" i="31" s="1"/>
  <c r="O64" i="31" s="1"/>
  <c r="N63" i="31"/>
  <c r="O63" i="31" s="1"/>
  <c r="L64" i="28"/>
  <c r="N64" i="28" s="1"/>
  <c r="O64" i="28" s="1"/>
  <c r="N63" i="28"/>
  <c r="O63" i="28" s="1"/>
  <c r="L65" i="26"/>
  <c r="N69" i="37"/>
  <c r="O69" i="37" s="1"/>
  <c r="K24" i="24"/>
  <c r="L24" i="24" s="1"/>
  <c r="M24" i="24" s="1"/>
  <c r="N63" i="1"/>
  <c r="O63" i="1" s="1"/>
  <c r="L64" i="1"/>
  <c r="N64" i="1" s="1"/>
  <c r="O64" i="1" s="1"/>
  <c r="L65" i="8"/>
  <c r="L70" i="27"/>
  <c r="N70" i="27" s="1"/>
  <c r="O70" i="27" s="1"/>
  <c r="N69" i="27"/>
  <c r="O69" i="27" s="1"/>
  <c r="L71" i="31"/>
  <c r="N71" i="31" s="1"/>
  <c r="O71" i="31" s="1"/>
  <c r="L64" i="30"/>
  <c r="N64" i="30" s="1"/>
  <c r="O64" i="30" s="1"/>
  <c r="N63" i="30"/>
  <c r="O63" i="30" s="1"/>
  <c r="L70" i="30"/>
  <c r="N70" i="30" s="1"/>
  <c r="O70" i="30" s="1"/>
  <c r="N69" i="30"/>
  <c r="O69" i="30" s="1"/>
  <c r="N69" i="29"/>
  <c r="O69" i="29" s="1"/>
  <c r="L70" i="29"/>
  <c r="N70" i="29" s="1"/>
  <c r="O70" i="29" s="1"/>
  <c r="N70" i="36"/>
  <c r="O70" i="36" s="1"/>
  <c r="K22" i="24"/>
  <c r="L22" i="24" s="1"/>
  <c r="M22" i="24" s="1"/>
  <c r="L64" i="40"/>
  <c r="N64" i="40" s="1"/>
  <c r="O64" i="40" s="1"/>
  <c r="L64" i="16"/>
  <c r="N64" i="16" s="1"/>
  <c r="O64" i="16" s="1"/>
  <c r="N65" i="32"/>
  <c r="O65" i="32" s="1"/>
  <c r="K17" i="24"/>
  <c r="L17" i="24" s="1"/>
  <c r="M17" i="24" s="1"/>
  <c r="L71" i="8"/>
  <c r="N71" i="8" s="1"/>
  <c r="O71" i="8" s="1"/>
  <c r="L71" i="32"/>
  <c r="N71" i="32" s="1"/>
  <c r="O71" i="32" s="1"/>
  <c r="N65" i="33"/>
  <c r="O65" i="33" s="1"/>
  <c r="K18" i="24"/>
  <c r="L18" i="24" s="1"/>
  <c r="M18" i="24" s="1"/>
  <c r="L63" i="37"/>
  <c r="N63" i="37" s="1"/>
  <c r="O63" i="37" s="1"/>
  <c r="L65" i="31" l="1"/>
  <c r="K26" i="24"/>
  <c r="L26" i="24" s="1"/>
  <c r="M26" i="24" s="1"/>
  <c r="L71" i="29"/>
  <c r="N71" i="29" s="1"/>
  <c r="O71" i="29" s="1"/>
  <c r="K11" i="24"/>
  <c r="L11" i="24" s="1"/>
  <c r="M11" i="24" s="1"/>
  <c r="L71" i="27"/>
  <c r="N71" i="27" s="1"/>
  <c r="O71" i="27" s="1"/>
  <c r="L65" i="30"/>
  <c r="K14" i="24" s="1"/>
  <c r="L14" i="24" s="1"/>
  <c r="M14" i="24" s="1"/>
  <c r="N65" i="8"/>
  <c r="O65" i="8" s="1"/>
  <c r="K16" i="24"/>
  <c r="L16" i="24" s="1"/>
  <c r="M16" i="24" s="1"/>
  <c r="N65" i="31"/>
  <c r="O65" i="31" s="1"/>
  <c r="K15" i="24"/>
  <c r="L15" i="24" s="1"/>
  <c r="M15" i="24" s="1"/>
  <c r="L71" i="30"/>
  <c r="N71" i="30" s="1"/>
  <c r="O71" i="30" s="1"/>
  <c r="K10" i="24"/>
  <c r="L10" i="24" s="1"/>
  <c r="M10" i="24" s="1"/>
  <c r="N65" i="26"/>
  <c r="O65" i="26" s="1"/>
  <c r="N65" i="30"/>
  <c r="O65" i="30" s="1"/>
  <c r="L65" i="1"/>
  <c r="L65" i="28"/>
  <c r="L65" i="29"/>
  <c r="N65" i="28" l="1"/>
  <c r="O65" i="28" s="1"/>
  <c r="K12" i="24"/>
  <c r="L12" i="24" s="1"/>
  <c r="M12" i="24" s="1"/>
  <c r="K13" i="24"/>
  <c r="L13" i="24" s="1"/>
  <c r="M13" i="24" s="1"/>
  <c r="N65" i="29"/>
  <c r="O65" i="29" s="1"/>
  <c r="K9" i="24"/>
  <c r="L9" i="24" s="1"/>
  <c r="M9" i="24" s="1"/>
  <c r="N65" i="1"/>
  <c r="O65" i="1" s="1"/>
</calcChain>
</file>

<file path=xl/comments1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7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10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7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11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7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12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7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13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7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14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7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15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7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required`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16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17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18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19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7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2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7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20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7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21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22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3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7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4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7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5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7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6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7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7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7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8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7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9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7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sharedStrings.xml><?xml version="1.0" encoding="utf-8"?>
<sst xmlns="http://schemas.openxmlformats.org/spreadsheetml/2006/main" count="2263" uniqueCount="97">
  <si>
    <t>File Number:</t>
  </si>
  <si>
    <t>Appendix 2-W</t>
  </si>
  <si>
    <t>Bill Impacts</t>
  </si>
  <si>
    <t>Customer Class:</t>
  </si>
  <si>
    <t>TOU / non-TOU:</t>
  </si>
  <si>
    <t>TOU</t>
  </si>
  <si>
    <t>Consumption</t>
  </si>
  <si>
    <t xml:space="preserve"> kWh</t>
  </si>
  <si>
    <t>Current Board-Approved</t>
  </si>
  <si>
    <t>Proposed</t>
  </si>
  <si>
    <t>Impact</t>
  </si>
  <si>
    <t>Charge Unit</t>
  </si>
  <si>
    <t>Rate</t>
  </si>
  <si>
    <t>Volume</t>
  </si>
  <si>
    <t>Charge</t>
  </si>
  <si>
    <t>$ Change</t>
  </si>
  <si>
    <t>% Change</t>
  </si>
  <si>
    <t>($)</t>
  </si>
  <si>
    <t>Monthly Service Charge</t>
  </si>
  <si>
    <t>Distribution Volumetric Rate</t>
  </si>
  <si>
    <t>Smart Meter Disposition Rider</t>
  </si>
  <si>
    <t>LRAM &amp; SSM Rate Rider</t>
  </si>
  <si>
    <t>Sub-Total A (excluding pass through)</t>
  </si>
  <si>
    <t>Deferral/Variance Account Disposition Rate Rider</t>
  </si>
  <si>
    <t>Low Voltage Service Charge</t>
  </si>
  <si>
    <t>Line Losses on Cost of Power</t>
  </si>
  <si>
    <t>Smart Meter Entity Charge</t>
  </si>
  <si>
    <t>Sub-Total B - Distribution (includes Sub-Total A)</t>
  </si>
  <si>
    <t>RTSR - Network</t>
  </si>
  <si>
    <t>RTSR - Line and Transformation Connection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</si>
  <si>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</si>
  <si>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</si>
  <si>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</si>
  <si>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</si>
  <si>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>Debt Retirement Charge (DRC)</t>
  </si>
  <si>
    <t>TOU - Off Peak</t>
  </si>
  <si>
    <t>TOU - Mid Peak</t>
  </si>
  <si>
    <t>TOU - On Peak</t>
  </si>
  <si>
    <t>Energy - RPP - Tier 1</t>
  </si>
  <si>
    <t>Energy - RPP - Tier 2</t>
  </si>
  <si>
    <t>Total Bill on TOU (before Taxes)</t>
  </si>
  <si>
    <t>HST</t>
  </si>
  <si>
    <r>
      <t xml:space="preserve">Total Bill </t>
    </r>
    <r>
      <rPr>
        <sz val="10"/>
        <rFont val="Arial"/>
        <family val="2"/>
      </rPr>
      <t>(including HST)</t>
    </r>
  </si>
  <si>
    <r>
      <t xml:space="preserve">Ontario Clean Energy Benefit </t>
    </r>
    <r>
      <rPr>
        <b/>
        <i/>
        <vertAlign val="superscript"/>
        <sz val="10"/>
        <rFont val="Arial"/>
        <family val="2"/>
      </rPr>
      <t>1</t>
    </r>
  </si>
  <si>
    <t>Total Bill on TOU (including OCEB)</t>
  </si>
  <si>
    <t>Total Bill on RPP (before Taxes)</t>
  </si>
  <si>
    <t>Total Bill on RPP (including OCEB)</t>
  </si>
  <si>
    <t>Loss Factor (%)</t>
  </si>
  <si>
    <r>
      <t>1</t>
    </r>
    <r>
      <rPr>
        <sz val="10"/>
        <rFont val="Arial"/>
        <family val="2"/>
      </rPr>
      <t xml:space="preserve"> Applicable to eligible customers only.  Refer to the </t>
    </r>
    <r>
      <rPr>
        <i/>
        <sz val="10"/>
        <rFont val="Arial"/>
        <family val="2"/>
      </rPr>
      <t>Ontario Clean Energy Benefit Act, 2010.</t>
    </r>
  </si>
  <si>
    <t xml:space="preserve">Note that the "Charge $" columns provide breakdowns of the amounts that each bill component contributes to the total monthly bill at the referenced </t>
  </si>
  <si>
    <t>consumption level at existing and proposed rates.</t>
  </si>
  <si>
    <t>Applicants must provide bill impacts for residential at 800 kWh and GS&lt;50kW at 2000 kWh. In addition, their filing must cover the range that is relevant</t>
  </si>
  <si>
    <t>to their service territory, class by class. A general guideline of consumption levels follows:</t>
  </si>
  <si>
    <t>Residential (kWh) - 100, 250, 500, 800, 1000, 1500, 2000</t>
  </si>
  <si>
    <t>GS&lt;50kW (kWh) - 1000, 2000, 5000, 10000, 15000</t>
  </si>
  <si>
    <t>GS&gt;50kW (kW) - 60, 100, 500, 1000</t>
  </si>
  <si>
    <t>Large User - range appropriate for utility</t>
  </si>
  <si>
    <t>Lighting Classes and USL - 150 kWh and 1 kW, range appropriate for utility.</t>
  </si>
  <si>
    <t>Note that cells with the highlighted color shown to the left indicate quantities that are loss adjusted.</t>
  </si>
  <si>
    <t>Residential</t>
  </si>
  <si>
    <t>Monthly</t>
  </si>
  <si>
    <t>per kWh</t>
  </si>
  <si>
    <t>Rate Rider for Disposal of Residual Historical Smart Meter Costs - effective until April 30, 2014</t>
  </si>
  <si>
    <t>Rate Rider for Smart Meter Incremental Revenue Requirement</t>
  </si>
  <si>
    <t>Stranded Meter Rate Rider (SMRR)</t>
  </si>
  <si>
    <t xml:space="preserve">Rate Rider for Application of Tax Change </t>
  </si>
  <si>
    <t>Rate Rider for Accounts 1575 and 1576</t>
  </si>
  <si>
    <t>GS &lt; 50 kW</t>
  </si>
  <si>
    <t>non-TOU</t>
  </si>
  <si>
    <t>kW</t>
  </si>
  <si>
    <t>per kW</t>
  </si>
  <si>
    <t>Street Lighting</t>
  </si>
  <si>
    <t>Unmetered Scattered Load</t>
  </si>
  <si>
    <t>COP Spot Price</t>
  </si>
  <si>
    <t>Rate Rider for Disposition of Global Adjustment Sub-Account(Applicable only for Non-RPP Customers)</t>
  </si>
  <si>
    <t>Filed:</t>
  </si>
  <si>
    <t>Rate Class</t>
  </si>
  <si>
    <t>kWh</t>
  </si>
  <si>
    <t>$ Difference</t>
  </si>
  <si>
    <t>Bill Impact %</t>
  </si>
  <si>
    <t>Rate Rider for Disposal of Residual Historical Smart Meter Costs - effective until April 30, 2015</t>
  </si>
  <si>
    <t>GS 3,000-4,999 kW</t>
  </si>
  <si>
    <t>Sentinel Lighting</t>
  </si>
  <si>
    <t>2014 Total Bill $</t>
  </si>
  <si>
    <t>2015 Total Bill $</t>
  </si>
  <si>
    <t>2014 Dist Bill $</t>
  </si>
  <si>
    <t>2015 Dist Bill $</t>
  </si>
  <si>
    <t>GS 50-2,999 kW</t>
  </si>
  <si>
    <t>LRAMVA (2011 &amp; 2012 CDM Activities)</t>
  </si>
  <si>
    <t>Bill Impact $</t>
  </si>
  <si>
    <t>Residential -TOU</t>
  </si>
  <si>
    <t>GS &lt; 50 kW - TOU</t>
  </si>
  <si>
    <t/>
  </si>
  <si>
    <t>EB-2014-0099</t>
  </si>
  <si>
    <t xml:space="preserve">Exhibit </t>
  </si>
  <si>
    <t>Appendix</t>
  </si>
  <si>
    <t>8-B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</si>
</sst>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_-;\-* #,##0_-;_-* &quot;-&quot;??_-;_-@_-"/>
    <numFmt numFmtId="166" formatCode="_-&quot;$&quot;* #,##0.0000_-;\-&quot;$&quot;* #,##0.0000_-;_-&quot;$&quot;* &quot;-&quot;??_-;_-@_-"/>
    <numFmt numFmtId="167" formatCode="_-&quot;$&quot;* #,##0.00000_-;\-&quot;$&quot;* #,##0.00000_-;_-&quot;$&quot;* &quot;-&quot;??_-;_-@_-"/>
    <numFmt numFmtId="168" formatCode="&quot;$&quot;#,##0.00;\(&quot;$&quot;#,##0.00\)"/>
    <numFmt numFmtId="169" formatCode="0.00%;\(0.00%\)"/>
    <numFmt numFmtId="170" formatCode="0.0000%"/>
  </numFmts>
  <fonts count="17" x14ac:knownFonts="1">
    <font>
      <sz val="11"/>
      <color theme="1"/>
      <name val="Calibri"/>
      <family val="2"/>
      <scheme val="minor"/>
    </font>
    <font>
      <sz val="16"/>
      <color indexed="12"/>
      <name val="Algerian"/>
      <family val="5"/>
    </font>
    <font>
      <b/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b/>
      <i/>
      <vertAlign val="superscript"/>
      <sz val="10"/>
      <name val="Arial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b/>
      <sz val="10"/>
      <color indexed="81"/>
      <name val="Arial"/>
      <family val="2"/>
    </font>
    <font>
      <b/>
      <sz val="8"/>
      <color indexed="81"/>
      <name val="Tahoma"/>
      <family val="2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7" fillId="0" borderId="0"/>
    <xf numFmtId="9" fontId="15" fillId="0" borderId="0" applyFont="0" applyFill="0" applyBorder="0" applyAlignment="0" applyProtection="0"/>
  </cellStyleXfs>
  <cellXfs count="271">
    <xf numFmtId="0" fontId="0" fillId="0" borderId="0" xfId="0"/>
    <xf numFmtId="0" fontId="1" fillId="2" borderId="0" xfId="0" applyFont="1" applyFill="1" applyAlignment="1" applyProtection="1">
      <alignment vertical="top" wrapText="1"/>
    </xf>
    <xf numFmtId="0" fontId="0" fillId="2" borderId="0" xfId="0" applyFill="1" applyBorder="1" applyProtection="1"/>
    <xf numFmtId="0" fontId="2" fillId="0" borderId="0" xfId="0" applyFont="1"/>
    <xf numFmtId="0" fontId="3" fillId="0" borderId="0" xfId="0" applyFont="1" applyAlignment="1">
      <alignment horizontal="right" vertical="top"/>
    </xf>
    <xf numFmtId="0" fontId="4" fillId="2" borderId="0" xfId="0" applyFont="1" applyFill="1" applyBorder="1" applyAlignment="1" applyProtection="1"/>
    <xf numFmtId="0" fontId="5" fillId="2" borderId="0" xfId="0" applyFont="1" applyFill="1" applyBorder="1" applyAlignment="1" applyProtection="1"/>
    <xf numFmtId="0" fontId="0" fillId="0" borderId="0" xfId="0" applyProtection="1"/>
    <xf numFmtId="0" fontId="2" fillId="0" borderId="0" xfId="0" applyFont="1" applyAlignment="1" applyProtection="1">
      <alignment horizontal="right"/>
    </xf>
    <xf numFmtId="0" fontId="7" fillId="0" borderId="0" xfId="0" applyFont="1" applyAlignment="1" applyProtection="1">
      <alignment horizontal="right"/>
    </xf>
    <xf numFmtId="0" fontId="5" fillId="0" borderId="0" xfId="0" applyFont="1" applyAlignment="1" applyProtection="1">
      <alignment horizontal="center"/>
    </xf>
    <xf numFmtId="0" fontId="8" fillId="3" borderId="0" xfId="0" applyFont="1" applyFill="1" applyAlignment="1" applyProtection="1">
      <alignment horizontal="center"/>
    </xf>
    <xf numFmtId="0" fontId="7" fillId="0" borderId="0" xfId="0" applyFont="1" applyProtection="1"/>
    <xf numFmtId="0" fontId="2" fillId="0" borderId="0" xfId="0" applyFont="1" applyProtection="1"/>
    <xf numFmtId="165" fontId="2" fillId="4" borderId="1" xfId="1" applyNumberFormat="1" applyFont="1" applyFill="1" applyBorder="1" applyProtection="1">
      <protection locked="0"/>
    </xf>
    <xf numFmtId="0" fontId="2" fillId="0" borderId="0" xfId="0" applyFont="1" applyAlignment="1" applyProtection="1"/>
    <xf numFmtId="0" fontId="2" fillId="0" borderId="0" xfId="0" applyFont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</xf>
    <xf numFmtId="0" fontId="2" fillId="0" borderId="5" xfId="0" quotePrefix="1" applyFont="1" applyBorder="1" applyAlignment="1" applyProtection="1">
      <alignment horizontal="center"/>
    </xf>
    <xf numFmtId="0" fontId="2" fillId="0" borderId="6" xfId="0" quotePrefix="1" applyFont="1" applyBorder="1" applyAlignment="1" applyProtection="1">
      <alignment horizontal="center"/>
    </xf>
    <xf numFmtId="0" fontId="0" fillId="0" borderId="0" xfId="0" applyAlignment="1" applyProtection="1">
      <alignment vertical="top"/>
    </xf>
    <xf numFmtId="0" fontId="0" fillId="3" borderId="0" xfId="0" applyFill="1" applyAlignment="1" applyProtection="1">
      <alignment vertical="top"/>
      <protection locked="0"/>
    </xf>
    <xf numFmtId="0" fontId="0" fillId="0" borderId="0" xfId="0" applyFill="1" applyAlignment="1" applyProtection="1">
      <alignment vertical="top"/>
    </xf>
    <xf numFmtId="166" fontId="15" fillId="4" borderId="7" xfId="2" applyNumberFormat="1" applyFont="1" applyFill="1" applyBorder="1" applyAlignment="1" applyProtection="1">
      <alignment vertical="top"/>
      <protection locked="0"/>
    </xf>
    <xf numFmtId="0" fontId="0" fillId="0" borderId="7" xfId="0" applyFill="1" applyBorder="1" applyAlignment="1" applyProtection="1">
      <alignment vertical="center"/>
    </xf>
    <xf numFmtId="44" fontId="15" fillId="0" borderId="3" xfId="2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166" fontId="15" fillId="4" borderId="7" xfId="2" applyNumberFormat="1" applyFont="1" applyFill="1" applyBorder="1" applyAlignment="1" applyProtection="1">
      <alignment vertical="center"/>
      <protection locked="0"/>
    </xf>
    <xf numFmtId="0" fontId="0" fillId="0" borderId="3" xfId="0" applyFill="1" applyBorder="1" applyAlignment="1" applyProtection="1">
      <alignment vertical="center"/>
    </xf>
    <xf numFmtId="164" fontId="0" fillId="0" borderId="7" xfId="0" applyNumberFormat="1" applyBorder="1" applyAlignment="1" applyProtection="1">
      <alignment vertical="center"/>
    </xf>
    <xf numFmtId="10" fontId="15" fillId="0" borderId="3" xfId="4" applyNumberFormat="1" applyFont="1" applyBorder="1" applyAlignment="1" applyProtection="1">
      <alignment vertical="center"/>
    </xf>
    <xf numFmtId="0" fontId="0" fillId="4" borderId="0" xfId="0" applyFill="1" applyAlignment="1" applyProtection="1">
      <alignment vertical="top"/>
      <protection locked="0"/>
    </xf>
    <xf numFmtId="0" fontId="0" fillId="0" borderId="0" xfId="0" applyFill="1" applyProtection="1"/>
    <xf numFmtId="0" fontId="2" fillId="5" borderId="8" xfId="0" applyFont="1" applyFill="1" applyBorder="1" applyAlignment="1" applyProtection="1">
      <alignment vertical="top"/>
      <protection locked="0"/>
    </xf>
    <xf numFmtId="0" fontId="0" fillId="5" borderId="9" xfId="0" applyFill="1" applyBorder="1" applyAlignment="1" applyProtection="1">
      <alignment vertical="top"/>
    </xf>
    <xf numFmtId="0" fontId="0" fillId="5" borderId="9" xfId="0" applyFill="1" applyBorder="1" applyAlignment="1" applyProtection="1">
      <alignment vertical="top"/>
      <protection locked="0"/>
    </xf>
    <xf numFmtId="166" fontId="15" fillId="5" borderId="1" xfId="2" applyNumberFormat="1" applyFont="1" applyFill="1" applyBorder="1" applyAlignment="1" applyProtection="1">
      <alignment vertical="top"/>
      <protection locked="0"/>
    </xf>
    <xf numFmtId="0" fontId="0" fillId="5" borderId="1" xfId="0" applyFill="1" applyBorder="1" applyAlignment="1" applyProtection="1">
      <alignment vertical="center"/>
      <protection locked="0"/>
    </xf>
    <xf numFmtId="44" fontId="15" fillId="5" borderId="10" xfId="2" applyFont="1" applyFill="1" applyBorder="1" applyAlignment="1" applyProtection="1">
      <alignment vertical="center"/>
    </xf>
    <xf numFmtId="0" fontId="0" fillId="5" borderId="0" xfId="0" applyFill="1" applyAlignment="1" applyProtection="1">
      <alignment vertical="center"/>
    </xf>
    <xf numFmtId="166" fontId="15" fillId="5" borderId="1" xfId="2" applyNumberFormat="1" applyFont="1" applyFill="1" applyBorder="1" applyAlignment="1" applyProtection="1">
      <alignment vertical="center"/>
      <protection locked="0"/>
    </xf>
    <xf numFmtId="0" fontId="0" fillId="5" borderId="10" xfId="0" applyFill="1" applyBorder="1" applyAlignment="1" applyProtection="1">
      <alignment vertical="center"/>
      <protection locked="0"/>
    </xf>
    <xf numFmtId="164" fontId="2" fillId="5" borderId="1" xfId="0" applyNumberFormat="1" applyFont="1" applyFill="1" applyBorder="1" applyAlignment="1" applyProtection="1">
      <alignment vertical="center"/>
    </xf>
    <xf numFmtId="10" fontId="2" fillId="5" borderId="10" xfId="4" applyNumberFormat="1" applyFont="1" applyFill="1" applyBorder="1" applyAlignment="1" applyProtection="1">
      <alignment vertical="center"/>
    </xf>
    <xf numFmtId="0" fontId="7" fillId="4" borderId="0" xfId="0" applyFont="1" applyFill="1" applyAlignment="1" applyProtection="1">
      <alignment vertical="top" wrapText="1"/>
    </xf>
    <xf numFmtId="0" fontId="0" fillId="0" borderId="11" xfId="0" applyBorder="1" applyAlignment="1" applyProtection="1">
      <alignment vertical="center"/>
    </xf>
    <xf numFmtId="0" fontId="0" fillId="0" borderId="7" xfId="0" applyBorder="1" applyAlignment="1" applyProtection="1">
      <alignment vertical="center"/>
    </xf>
    <xf numFmtId="0" fontId="7" fillId="0" borderId="0" xfId="0" applyFont="1" applyAlignment="1" applyProtection="1">
      <alignment vertical="top"/>
    </xf>
    <xf numFmtId="0" fontId="2" fillId="5" borderId="8" xfId="0" applyFont="1" applyFill="1" applyBorder="1" applyAlignment="1" applyProtection="1">
      <alignment vertical="top" wrapText="1"/>
    </xf>
    <xf numFmtId="0" fontId="0" fillId="5" borderId="9" xfId="0" applyFill="1" applyBorder="1" applyProtection="1"/>
    <xf numFmtId="0" fontId="0" fillId="5" borderId="1" xfId="0" applyFill="1" applyBorder="1" applyProtection="1"/>
    <xf numFmtId="0" fontId="0" fillId="5" borderId="1" xfId="0" applyFill="1" applyBorder="1" applyAlignment="1" applyProtection="1">
      <alignment vertical="center"/>
    </xf>
    <xf numFmtId="164" fontId="2" fillId="5" borderId="10" xfId="0" applyNumberFormat="1" applyFont="1" applyFill="1" applyBorder="1" applyAlignment="1" applyProtection="1">
      <alignment vertical="center"/>
    </xf>
    <xf numFmtId="0" fontId="0" fillId="5" borderId="10" xfId="0" applyFill="1" applyBorder="1" applyAlignment="1" applyProtection="1">
      <alignment vertical="center"/>
    </xf>
    <xf numFmtId="0" fontId="0" fillId="3" borderId="0" xfId="0" applyFill="1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</xf>
    <xf numFmtId="1" fontId="0" fillId="6" borderId="7" xfId="0" applyNumberFormat="1" applyFill="1" applyBorder="1" applyAlignment="1" applyProtection="1">
      <alignment vertical="center"/>
    </xf>
    <xf numFmtId="1" fontId="0" fillId="6" borderId="3" xfId="0" applyNumberFormat="1" applyFill="1" applyBorder="1" applyAlignment="1" applyProtection="1">
      <alignment vertical="center"/>
    </xf>
    <xf numFmtId="0" fontId="0" fillId="0" borderId="0" xfId="0" applyAlignment="1" applyProtection="1">
      <alignment vertical="center" wrapText="1"/>
    </xf>
    <xf numFmtId="0" fontId="0" fillId="5" borderId="1" xfId="0" applyFill="1" applyBorder="1" applyAlignment="1" applyProtection="1">
      <alignment vertical="top"/>
    </xf>
    <xf numFmtId="0" fontId="2" fillId="5" borderId="0" xfId="0" applyFont="1" applyFill="1" applyAlignment="1" applyProtection="1">
      <alignment vertical="center"/>
    </xf>
    <xf numFmtId="0" fontId="2" fillId="5" borderId="1" xfId="0" applyFont="1" applyFill="1" applyBorder="1" applyAlignment="1" applyProtection="1">
      <alignment vertical="center"/>
    </xf>
    <xf numFmtId="0" fontId="2" fillId="5" borderId="10" xfId="0" applyFont="1" applyFill="1" applyBorder="1" applyAlignment="1" applyProtection="1">
      <alignment vertical="center"/>
    </xf>
    <xf numFmtId="0" fontId="0" fillId="0" borderId="0" xfId="0" applyAlignment="1" applyProtection="1">
      <alignment vertical="top" wrapText="1"/>
    </xf>
    <xf numFmtId="166" fontId="15" fillId="4" borderId="7" xfId="2" applyNumberFormat="1" applyFill="1" applyBorder="1" applyAlignment="1" applyProtection="1">
      <alignment vertical="top"/>
      <protection locked="0"/>
    </xf>
    <xf numFmtId="44" fontId="15" fillId="0" borderId="3" xfId="2" applyBorder="1" applyAlignment="1" applyProtection="1">
      <alignment vertical="center"/>
    </xf>
    <xf numFmtId="10" fontId="15" fillId="0" borderId="3" xfId="4" applyNumberFormat="1" applyBorder="1" applyAlignment="1" applyProtection="1">
      <alignment vertical="center"/>
    </xf>
    <xf numFmtId="1" fontId="0" fillId="0" borderId="7" xfId="0" applyNumberFormat="1" applyFill="1" applyBorder="1" applyAlignment="1" applyProtection="1">
      <alignment vertical="center"/>
    </xf>
    <xf numFmtId="1" fontId="0" fillId="0" borderId="3" xfId="0" applyNumberFormat="1" applyFill="1" applyBorder="1" applyAlignment="1" applyProtection="1">
      <alignment vertical="center"/>
    </xf>
    <xf numFmtId="166" fontId="15" fillId="0" borderId="7" xfId="2" applyNumberFormat="1" applyFill="1" applyBorder="1" applyAlignment="1" applyProtection="1">
      <alignment vertical="top"/>
      <protection locked="0"/>
    </xf>
    <xf numFmtId="164" fontId="0" fillId="0" borderId="0" xfId="0" applyNumberFormat="1" applyProtection="1"/>
    <xf numFmtId="0" fontId="7" fillId="0" borderId="0" xfId="3" applyProtection="1"/>
    <xf numFmtId="0" fontId="7" fillId="0" borderId="0" xfId="3" applyFont="1" applyAlignment="1" applyProtection="1">
      <alignment vertical="top"/>
    </xf>
    <xf numFmtId="0" fontId="7" fillId="0" borderId="0" xfId="3" applyAlignment="1" applyProtection="1">
      <alignment vertical="top"/>
    </xf>
    <xf numFmtId="0" fontId="7" fillId="3" borderId="0" xfId="3" applyFill="1" applyAlignment="1" applyProtection="1">
      <alignment vertical="top"/>
      <protection locked="0"/>
    </xf>
    <xf numFmtId="0" fontId="7" fillId="0" borderId="0" xfId="3" applyFill="1" applyAlignment="1" applyProtection="1">
      <alignment vertical="top"/>
    </xf>
    <xf numFmtId="1" fontId="7" fillId="7" borderId="7" xfId="3" applyNumberFormat="1" applyFill="1" applyBorder="1" applyAlignment="1" applyProtection="1">
      <alignment vertical="center"/>
    </xf>
    <xf numFmtId="0" fontId="7" fillId="0" borderId="0" xfId="3" applyAlignment="1" applyProtection="1">
      <alignment vertical="center"/>
    </xf>
    <xf numFmtId="164" fontId="7" fillId="0" borderId="7" xfId="3" applyNumberFormat="1" applyBorder="1" applyAlignment="1" applyProtection="1">
      <alignment vertical="center"/>
    </xf>
    <xf numFmtId="0" fontId="7" fillId="8" borderId="12" xfId="0" applyFont="1" applyFill="1" applyBorder="1" applyProtection="1"/>
    <xf numFmtId="0" fontId="0" fillId="8" borderId="13" xfId="0" applyFill="1" applyBorder="1" applyAlignment="1" applyProtection="1">
      <alignment vertical="top"/>
    </xf>
    <xf numFmtId="0" fontId="0" fillId="8" borderId="13" xfId="0" applyFill="1" applyBorder="1" applyAlignment="1" applyProtection="1">
      <alignment vertical="top"/>
      <protection locked="0"/>
    </xf>
    <xf numFmtId="166" fontId="15" fillId="8" borderId="14" xfId="2" applyNumberFormat="1" applyFill="1" applyBorder="1" applyAlignment="1" applyProtection="1">
      <alignment vertical="top"/>
      <protection locked="0"/>
    </xf>
    <xf numFmtId="0" fontId="0" fillId="8" borderId="15" xfId="0" applyFill="1" applyBorder="1" applyAlignment="1" applyProtection="1">
      <alignment vertical="center"/>
      <protection locked="0"/>
    </xf>
    <xf numFmtId="44" fontId="15" fillId="8" borderId="13" xfId="2" applyFill="1" applyBorder="1" applyAlignment="1" applyProtection="1">
      <alignment vertical="center"/>
    </xf>
    <xf numFmtId="0" fontId="0" fillId="8" borderId="13" xfId="0" applyFill="1" applyBorder="1" applyAlignment="1" applyProtection="1">
      <alignment vertical="center"/>
    </xf>
    <xf numFmtId="0" fontId="0" fillId="8" borderId="14" xfId="0" applyFill="1" applyBorder="1" applyAlignment="1" applyProtection="1">
      <alignment vertical="center"/>
      <protection locked="0"/>
    </xf>
    <xf numFmtId="164" fontId="0" fillId="8" borderId="14" xfId="0" applyNumberFormat="1" applyFill="1" applyBorder="1" applyAlignment="1" applyProtection="1">
      <alignment vertical="center"/>
    </xf>
    <xf numFmtId="10" fontId="15" fillId="8" borderId="16" xfId="4" applyNumberForma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top"/>
    </xf>
    <xf numFmtId="9" fontId="0" fillId="0" borderId="7" xfId="0" applyNumberFormat="1" applyFill="1" applyBorder="1" applyAlignment="1" applyProtection="1">
      <alignment vertical="top"/>
    </xf>
    <xf numFmtId="9" fontId="0" fillId="0" borderId="0" xfId="0" applyNumberFormat="1" applyFill="1" applyBorder="1" applyAlignment="1" applyProtection="1">
      <alignment vertical="center"/>
    </xf>
    <xf numFmtId="164" fontId="2" fillId="0" borderId="11" xfId="0" applyNumberFormat="1" applyFont="1" applyFill="1" applyBorder="1" applyAlignment="1" applyProtection="1">
      <alignment vertical="center"/>
    </xf>
    <xf numFmtId="0" fontId="2" fillId="0" borderId="7" xfId="0" applyFont="1" applyFill="1" applyBorder="1" applyAlignment="1" applyProtection="1">
      <alignment vertical="center"/>
    </xf>
    <xf numFmtId="9" fontId="2" fillId="0" borderId="7" xfId="0" applyNumberFormat="1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164" fontId="2" fillId="0" borderId="7" xfId="0" applyNumberFormat="1" applyFont="1" applyFill="1" applyBorder="1" applyAlignment="1" applyProtection="1">
      <alignment vertical="center"/>
    </xf>
    <xf numFmtId="10" fontId="2" fillId="0" borderId="3" xfId="4" applyNumberFormat="1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horizontal="left" vertical="top" indent="1"/>
    </xf>
    <xf numFmtId="9" fontId="0" fillId="0" borderId="7" xfId="0" applyNumberFormat="1" applyFill="1" applyBorder="1" applyAlignment="1" applyProtection="1">
      <alignment vertical="top"/>
      <protection locked="0"/>
    </xf>
    <xf numFmtId="0" fontId="0" fillId="0" borderId="0" xfId="0" applyFill="1" applyBorder="1" applyAlignment="1" applyProtection="1">
      <alignment vertical="center"/>
    </xf>
    <xf numFmtId="164" fontId="7" fillId="0" borderId="11" xfId="0" applyNumberFormat="1" applyFont="1" applyFill="1" applyBorder="1" applyAlignment="1" applyProtection="1">
      <alignment vertical="center"/>
    </xf>
    <xf numFmtId="0" fontId="7" fillId="0" borderId="7" xfId="0" applyFont="1" applyFill="1" applyBorder="1" applyAlignment="1" applyProtection="1">
      <alignment vertical="center"/>
    </xf>
    <xf numFmtId="9" fontId="7" fillId="0" borderId="7" xfId="0" applyNumberFormat="1" applyFont="1" applyFill="1" applyBorder="1" applyAlignment="1" applyProtection="1">
      <alignment vertical="center"/>
      <protection locked="0"/>
    </xf>
    <xf numFmtId="164" fontId="7" fillId="0" borderId="3" xfId="0" applyNumberFormat="1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164" fontId="7" fillId="0" borderId="7" xfId="0" applyNumberFormat="1" applyFont="1" applyFill="1" applyBorder="1" applyAlignment="1" applyProtection="1">
      <alignment vertical="center"/>
    </xf>
    <xf numFmtId="10" fontId="7" fillId="0" borderId="3" xfId="4" applyNumberFormat="1" applyFont="1" applyFill="1" applyBorder="1" applyAlignment="1" applyProtection="1">
      <alignment vertical="center"/>
    </xf>
    <xf numFmtId="0" fontId="2" fillId="0" borderId="0" xfId="0" applyFont="1" applyAlignment="1" applyProtection="1">
      <alignment horizontal="left" vertical="top" wrapText="1" indent="1"/>
    </xf>
    <xf numFmtId="0" fontId="0" fillId="0" borderId="7" xfId="0" applyFill="1" applyBorder="1" applyAlignment="1" applyProtection="1">
      <alignment vertical="top"/>
    </xf>
    <xf numFmtId="164" fontId="16" fillId="0" borderId="11" xfId="0" applyNumberFormat="1" applyFont="1" applyFill="1" applyBorder="1" applyAlignment="1" applyProtection="1">
      <alignment vertical="center"/>
    </xf>
    <xf numFmtId="164" fontId="16" fillId="0" borderId="3" xfId="0" applyNumberFormat="1" applyFont="1" applyFill="1" applyBorder="1" applyAlignment="1" applyProtection="1">
      <alignment vertical="center"/>
    </xf>
    <xf numFmtId="164" fontId="16" fillId="0" borderId="7" xfId="0" applyNumberFormat="1" applyFont="1" applyFill="1" applyBorder="1" applyAlignment="1" applyProtection="1">
      <alignment vertical="center"/>
    </xf>
    <xf numFmtId="10" fontId="16" fillId="0" borderId="3" xfId="4" applyNumberFormat="1" applyFont="1" applyFill="1" applyBorder="1" applyAlignment="1" applyProtection="1">
      <alignment vertical="center"/>
    </xf>
    <xf numFmtId="0" fontId="0" fillId="9" borderId="0" xfId="0" applyFill="1" applyAlignment="1" applyProtection="1">
      <alignment vertical="top"/>
    </xf>
    <xf numFmtId="0" fontId="0" fillId="9" borderId="5" xfId="0" applyFill="1" applyBorder="1" applyAlignment="1" applyProtection="1">
      <alignment vertical="top"/>
    </xf>
    <xf numFmtId="0" fontId="0" fillId="9" borderId="17" xfId="0" applyFill="1" applyBorder="1" applyAlignment="1" applyProtection="1">
      <alignment vertical="center"/>
    </xf>
    <xf numFmtId="164" fontId="2" fillId="9" borderId="18" xfId="0" applyNumberFormat="1" applyFont="1" applyFill="1" applyBorder="1" applyAlignment="1" applyProtection="1">
      <alignment vertical="center"/>
    </xf>
    <xf numFmtId="0" fontId="2" fillId="9" borderId="5" xfId="0" applyFont="1" applyFill="1" applyBorder="1" applyAlignment="1" applyProtection="1">
      <alignment vertical="center"/>
    </xf>
    <xf numFmtId="164" fontId="2" fillId="9" borderId="6" xfId="0" applyNumberFormat="1" applyFont="1" applyFill="1" applyBorder="1" applyAlignment="1" applyProtection="1">
      <alignment vertical="center"/>
    </xf>
    <xf numFmtId="0" fontId="2" fillId="9" borderId="17" xfId="0" applyFont="1" applyFill="1" applyBorder="1" applyAlignment="1" applyProtection="1">
      <alignment vertical="center"/>
    </xf>
    <xf numFmtId="164" fontId="2" fillId="9" borderId="5" xfId="0" applyNumberFormat="1" applyFont="1" applyFill="1" applyBorder="1" applyAlignment="1" applyProtection="1">
      <alignment vertical="center"/>
    </xf>
    <xf numFmtId="10" fontId="2" fillId="9" borderId="6" xfId="4" applyNumberFormat="1" applyFont="1" applyFill="1" applyBorder="1" applyAlignment="1" applyProtection="1">
      <alignment vertical="center"/>
    </xf>
    <xf numFmtId="0" fontId="7" fillId="8" borderId="12" xfId="3" applyFont="1" applyFill="1" applyBorder="1" applyProtection="1"/>
    <xf numFmtId="0" fontId="7" fillId="8" borderId="13" xfId="3" applyFill="1" applyBorder="1" applyAlignment="1" applyProtection="1">
      <alignment vertical="top"/>
    </xf>
    <xf numFmtId="0" fontId="7" fillId="8" borderId="13" xfId="3" applyFill="1" applyBorder="1" applyAlignment="1" applyProtection="1">
      <alignment vertical="top"/>
      <protection locked="0"/>
    </xf>
    <xf numFmtId="0" fontId="7" fillId="8" borderId="15" xfId="3" applyFill="1" applyBorder="1" applyAlignment="1" applyProtection="1">
      <alignment vertical="center"/>
      <protection locked="0"/>
    </xf>
    <xf numFmtId="0" fontId="7" fillId="8" borderId="13" xfId="3" applyFill="1" applyBorder="1" applyAlignment="1" applyProtection="1">
      <alignment vertical="center"/>
    </xf>
    <xf numFmtId="0" fontId="7" fillId="8" borderId="14" xfId="3" applyFill="1" applyBorder="1" applyAlignment="1" applyProtection="1">
      <alignment vertical="center"/>
      <protection locked="0"/>
    </xf>
    <xf numFmtId="164" fontId="7" fillId="8" borderId="14" xfId="3" applyNumberFormat="1" applyFill="1" applyBorder="1" applyAlignment="1" applyProtection="1">
      <alignment vertical="center"/>
    </xf>
    <xf numFmtId="0" fontId="2" fillId="0" borderId="0" xfId="3" applyFont="1" applyFill="1" applyAlignment="1" applyProtection="1">
      <alignment vertical="top"/>
    </xf>
    <xf numFmtId="9" fontId="7" fillId="0" borderId="7" xfId="3" applyNumberFormat="1" applyFill="1" applyBorder="1" applyAlignment="1" applyProtection="1">
      <alignment vertical="top"/>
    </xf>
    <xf numFmtId="9" fontId="7" fillId="0" borderId="0" xfId="3" applyNumberFormat="1" applyFill="1" applyBorder="1" applyAlignment="1" applyProtection="1">
      <alignment vertical="center"/>
    </xf>
    <xf numFmtId="164" fontId="2" fillId="0" borderId="11" xfId="3" applyNumberFormat="1" applyFont="1" applyFill="1" applyBorder="1" applyAlignment="1" applyProtection="1">
      <alignment vertical="center"/>
    </xf>
    <xf numFmtId="0" fontId="2" fillId="0" borderId="7" xfId="3" applyFont="1" applyFill="1" applyBorder="1" applyAlignment="1" applyProtection="1">
      <alignment vertical="center"/>
    </xf>
    <xf numFmtId="9" fontId="2" fillId="0" borderId="7" xfId="3" applyNumberFormat="1" applyFont="1" applyFill="1" applyBorder="1" applyAlignment="1" applyProtection="1">
      <alignment vertical="center"/>
    </xf>
    <xf numFmtId="0" fontId="2" fillId="0" borderId="0" xfId="3" applyFont="1" applyFill="1" applyBorder="1" applyAlignment="1" applyProtection="1">
      <alignment vertical="center"/>
    </xf>
    <xf numFmtId="164" fontId="2" fillId="0" borderId="7" xfId="3" applyNumberFormat="1" applyFont="1" applyFill="1" applyBorder="1" applyAlignment="1" applyProtection="1">
      <alignment vertical="center"/>
    </xf>
    <xf numFmtId="0" fontId="7" fillId="0" borderId="0" xfId="3" applyFont="1" applyFill="1" applyAlignment="1" applyProtection="1">
      <alignment horizontal="left" vertical="top" indent="1"/>
    </xf>
    <xf numFmtId="9" fontId="7" fillId="0" borderId="7" xfId="3" applyNumberFormat="1" applyFill="1" applyBorder="1" applyAlignment="1" applyProtection="1">
      <alignment vertical="top"/>
      <protection locked="0"/>
    </xf>
    <xf numFmtId="164" fontId="7" fillId="0" borderId="11" xfId="3" applyNumberFormat="1" applyFont="1" applyFill="1" applyBorder="1" applyAlignment="1" applyProtection="1">
      <alignment vertical="center"/>
    </xf>
    <xf numFmtId="0" fontId="7" fillId="0" borderId="7" xfId="3" applyFont="1" applyFill="1" applyBorder="1" applyAlignment="1" applyProtection="1">
      <alignment vertical="center"/>
    </xf>
    <xf numFmtId="9" fontId="7" fillId="0" borderId="7" xfId="3" applyNumberFormat="1" applyFont="1" applyFill="1" applyBorder="1" applyAlignment="1" applyProtection="1">
      <alignment vertical="top"/>
      <protection locked="0"/>
    </xf>
    <xf numFmtId="9" fontId="7" fillId="0" borderId="7" xfId="3" applyNumberFormat="1" applyFont="1" applyFill="1" applyBorder="1" applyAlignment="1" applyProtection="1">
      <alignment vertical="center"/>
    </xf>
    <xf numFmtId="164" fontId="7" fillId="0" borderId="3" xfId="3" applyNumberFormat="1" applyFont="1" applyFill="1" applyBorder="1" applyAlignment="1" applyProtection="1">
      <alignment vertical="center"/>
    </xf>
    <xf numFmtId="0" fontId="7" fillId="0" borderId="0" xfId="3" applyFont="1" applyFill="1" applyBorder="1" applyAlignment="1" applyProtection="1">
      <alignment vertical="center"/>
    </xf>
    <xf numFmtId="164" fontId="7" fillId="0" borderId="7" xfId="3" applyNumberFormat="1" applyFont="1" applyFill="1" applyBorder="1" applyAlignment="1" applyProtection="1">
      <alignment vertical="center"/>
    </xf>
    <xf numFmtId="0" fontId="2" fillId="0" borderId="0" xfId="3" applyFont="1" applyAlignment="1" applyProtection="1">
      <alignment horizontal="left" vertical="top" wrapText="1" indent="1"/>
    </xf>
    <xf numFmtId="0" fontId="7" fillId="0" borderId="7" xfId="3" applyFill="1" applyBorder="1" applyAlignment="1" applyProtection="1">
      <alignment vertical="top"/>
    </xf>
    <xf numFmtId="0" fontId="7" fillId="0" borderId="0" xfId="3" applyFill="1" applyBorder="1" applyAlignment="1" applyProtection="1">
      <alignment vertical="center"/>
    </xf>
    <xf numFmtId="164" fontId="16" fillId="0" borderId="11" xfId="3" applyNumberFormat="1" applyFont="1" applyFill="1" applyBorder="1" applyAlignment="1" applyProtection="1">
      <alignment vertical="center"/>
    </xf>
    <xf numFmtId="164" fontId="16" fillId="0" borderId="3" xfId="3" applyNumberFormat="1" applyFont="1" applyFill="1" applyBorder="1" applyAlignment="1" applyProtection="1">
      <alignment vertical="center"/>
    </xf>
    <xf numFmtId="164" fontId="16" fillId="0" borderId="7" xfId="3" applyNumberFormat="1" applyFont="1" applyFill="1" applyBorder="1" applyAlignment="1" applyProtection="1">
      <alignment vertical="center"/>
    </xf>
    <xf numFmtId="0" fontId="7" fillId="9" borderId="0" xfId="3" applyFill="1" applyAlignment="1" applyProtection="1">
      <alignment vertical="top"/>
    </xf>
    <xf numFmtId="0" fontId="7" fillId="9" borderId="7" xfId="3" applyFill="1" applyBorder="1" applyAlignment="1" applyProtection="1">
      <alignment vertical="top"/>
    </xf>
    <xf numFmtId="0" fontId="7" fillId="9" borderId="0" xfId="3" applyFill="1" applyBorder="1" applyAlignment="1" applyProtection="1">
      <alignment vertical="center"/>
    </xf>
    <xf numFmtId="164" fontId="2" fillId="9" borderId="11" xfId="3" applyNumberFormat="1" applyFont="1" applyFill="1" applyBorder="1" applyAlignment="1" applyProtection="1">
      <alignment vertical="center"/>
    </xf>
    <xf numFmtId="0" fontId="2" fillId="9" borderId="7" xfId="3" applyFont="1" applyFill="1" applyBorder="1" applyAlignment="1" applyProtection="1">
      <alignment vertical="center"/>
    </xf>
    <xf numFmtId="164" fontId="2" fillId="9" borderId="3" xfId="3" applyNumberFormat="1" applyFont="1" applyFill="1" applyBorder="1" applyAlignment="1" applyProtection="1">
      <alignment vertical="center"/>
    </xf>
    <xf numFmtId="0" fontId="2" fillId="9" borderId="0" xfId="3" applyFont="1" applyFill="1" applyBorder="1" applyAlignment="1" applyProtection="1">
      <alignment vertical="center"/>
    </xf>
    <xf numFmtId="164" fontId="2" fillId="9" borderId="7" xfId="3" applyNumberFormat="1" applyFont="1" applyFill="1" applyBorder="1" applyAlignment="1" applyProtection="1">
      <alignment vertical="center"/>
    </xf>
    <xf numFmtId="10" fontId="2" fillId="9" borderId="3" xfId="4" applyNumberFormat="1" applyFont="1" applyFill="1" applyBorder="1" applyAlignment="1" applyProtection="1">
      <alignment vertical="center"/>
    </xf>
    <xf numFmtId="166" fontId="15" fillId="8" borderId="15" xfId="2" applyNumberFormat="1" applyFill="1" applyBorder="1" applyAlignment="1" applyProtection="1">
      <alignment vertical="top"/>
      <protection locked="0"/>
    </xf>
    <xf numFmtId="0" fontId="7" fillId="8" borderId="13" xfId="3" applyFill="1" applyBorder="1" applyAlignment="1" applyProtection="1">
      <alignment vertical="center"/>
      <protection locked="0"/>
    </xf>
    <xf numFmtId="44" fontId="15" fillId="8" borderId="19" xfId="2" applyFill="1" applyBorder="1" applyAlignment="1" applyProtection="1">
      <alignment vertical="center"/>
    </xf>
    <xf numFmtId="0" fontId="7" fillId="8" borderId="15" xfId="3" applyFill="1" applyBorder="1" applyAlignment="1" applyProtection="1">
      <alignment vertical="center"/>
    </xf>
    <xf numFmtId="44" fontId="15" fillId="8" borderId="14" xfId="2" applyFill="1" applyBorder="1" applyAlignment="1" applyProtection="1">
      <alignment vertical="center"/>
    </xf>
    <xf numFmtId="164" fontId="7" fillId="8" borderId="15" xfId="3" applyNumberFormat="1" applyFill="1" applyBorder="1" applyAlignment="1" applyProtection="1">
      <alignment vertical="center"/>
    </xf>
    <xf numFmtId="10" fontId="15" fillId="4" borderId="1" xfId="4" applyNumberFormat="1" applyFill="1" applyBorder="1" applyProtection="1">
      <protection locked="0"/>
    </xf>
    <xf numFmtId="0" fontId="11" fillId="0" borderId="0" xfId="0" applyFont="1" applyProtection="1"/>
    <xf numFmtId="0" fontId="0" fillId="6" borderId="0" xfId="0" applyFill="1" applyProtection="1"/>
    <xf numFmtId="164" fontId="15" fillId="4" borderId="7" xfId="2" applyNumberFormat="1" applyFont="1" applyFill="1" applyBorder="1" applyAlignment="1" applyProtection="1">
      <alignment vertical="center"/>
      <protection locked="0"/>
    </xf>
    <xf numFmtId="164" fontId="15" fillId="4" borderId="7" xfId="2" applyNumberFormat="1" applyFont="1" applyFill="1" applyBorder="1" applyAlignment="1" applyProtection="1">
      <alignment vertical="top"/>
      <protection locked="0"/>
    </xf>
    <xf numFmtId="0" fontId="0" fillId="4" borderId="0" xfId="0" applyFill="1" applyAlignment="1" applyProtection="1">
      <alignment vertical="top" wrapText="1"/>
    </xf>
    <xf numFmtId="164" fontId="15" fillId="4" borderId="7" xfId="2" applyNumberFormat="1" applyFill="1" applyBorder="1" applyAlignment="1" applyProtection="1">
      <alignment vertical="top"/>
      <protection locked="0"/>
    </xf>
    <xf numFmtId="164" fontId="15" fillId="7" borderId="7" xfId="2" applyNumberFormat="1" applyFont="1" applyFill="1" applyBorder="1" applyAlignment="1" applyProtection="1">
      <alignment vertical="top"/>
      <protection locked="0"/>
    </xf>
    <xf numFmtId="165" fontId="0" fillId="0" borderId="7" xfId="0" applyNumberFormat="1" applyFill="1" applyBorder="1" applyAlignment="1" applyProtection="1">
      <alignment vertical="center"/>
    </xf>
    <xf numFmtId="0" fontId="7" fillId="10" borderId="0" xfId="3" applyFont="1" applyFill="1" applyAlignment="1" applyProtection="1">
      <alignment vertical="top"/>
    </xf>
    <xf numFmtId="0" fontId="7" fillId="0" borderId="0" xfId="0" applyFont="1" applyFill="1" applyAlignment="1" applyProtection="1">
      <alignment vertical="top"/>
    </xf>
    <xf numFmtId="0" fontId="0" fillId="0" borderId="0" xfId="0" applyFill="1" applyAlignment="1" applyProtection="1">
      <alignment vertical="top"/>
      <protection locked="0"/>
    </xf>
    <xf numFmtId="166" fontId="15" fillId="0" borderId="7" xfId="2" applyNumberFormat="1" applyFont="1" applyFill="1" applyBorder="1" applyAlignment="1" applyProtection="1">
      <alignment vertical="top"/>
      <protection locked="0"/>
    </xf>
    <xf numFmtId="44" fontId="15" fillId="0" borderId="3" xfId="2" applyFont="1" applyFill="1" applyBorder="1" applyAlignment="1" applyProtection="1">
      <alignment vertical="center"/>
    </xf>
    <xf numFmtId="166" fontId="15" fillId="0" borderId="7" xfId="2" applyNumberFormat="1" applyFont="1" applyFill="1" applyBorder="1" applyAlignment="1" applyProtection="1">
      <alignment vertical="center"/>
      <protection locked="0"/>
    </xf>
    <xf numFmtId="164" fontId="0" fillId="0" borderId="7" xfId="0" applyNumberFormat="1" applyFill="1" applyBorder="1" applyAlignment="1" applyProtection="1">
      <alignment vertical="center"/>
    </xf>
    <xf numFmtId="10" fontId="15" fillId="0" borderId="3" xfId="4" applyNumberFormat="1" applyFont="1" applyFill="1" applyBorder="1" applyAlignment="1" applyProtection="1">
      <alignment vertical="center"/>
    </xf>
    <xf numFmtId="44" fontId="15" fillId="0" borderId="3" xfId="2" applyFill="1" applyBorder="1" applyAlignment="1" applyProtection="1">
      <alignment vertical="center"/>
    </xf>
    <xf numFmtId="164" fontId="2" fillId="0" borderId="20" xfId="3" applyNumberFormat="1" applyFont="1" applyFill="1" applyBorder="1" applyAlignment="1" applyProtection="1">
      <alignment vertical="center"/>
    </xf>
    <xf numFmtId="164" fontId="2" fillId="0" borderId="20" xfId="0" applyNumberFormat="1" applyFont="1" applyFill="1" applyBorder="1" applyAlignment="1" applyProtection="1">
      <alignment vertical="center"/>
    </xf>
    <xf numFmtId="0" fontId="3" fillId="0" borderId="0" xfId="0" applyFont="1" applyFill="1" applyAlignment="1">
      <alignment vertical="top"/>
    </xf>
    <xf numFmtId="0" fontId="3" fillId="0" borderId="0" xfId="0" applyFont="1" applyFill="1" applyBorder="1" applyAlignment="1">
      <alignment vertical="top"/>
    </xf>
    <xf numFmtId="0" fontId="0" fillId="0" borderId="0" xfId="0" applyFill="1"/>
    <xf numFmtId="15" fontId="3" fillId="0" borderId="0" xfId="0" applyNumberFormat="1" applyFont="1" applyFill="1" applyAlignment="1">
      <alignment vertical="top"/>
    </xf>
    <xf numFmtId="0" fontId="0" fillId="0" borderId="0" xfId="0" applyBorder="1"/>
    <xf numFmtId="167" fontId="15" fillId="4" borderId="7" xfId="2" applyNumberFormat="1" applyFont="1" applyFill="1" applyBorder="1" applyAlignment="1" applyProtection="1">
      <alignment vertical="top"/>
      <protection locked="0"/>
    </xf>
    <xf numFmtId="167" fontId="15" fillId="4" borderId="7" xfId="2" applyNumberFormat="1" applyFont="1" applyFill="1" applyBorder="1" applyAlignment="1" applyProtection="1">
      <alignment vertical="center"/>
      <protection locked="0"/>
    </xf>
    <xf numFmtId="166" fontId="0" fillId="4" borderId="7" xfId="2" applyNumberFormat="1" applyFont="1" applyFill="1" applyBorder="1" applyAlignment="1" applyProtection="1">
      <alignment vertical="top"/>
      <protection locked="0"/>
    </xf>
    <xf numFmtId="0" fontId="0" fillId="0" borderId="0" xfId="0" applyAlignment="1">
      <alignment horizontal="center"/>
    </xf>
    <xf numFmtId="170" fontId="15" fillId="4" borderId="1" xfId="4" applyNumberFormat="1" applyFill="1" applyBorder="1" applyProtection="1">
      <protection locked="0"/>
    </xf>
    <xf numFmtId="43" fontId="0" fillId="0" borderId="7" xfId="0" applyNumberFormat="1" applyFill="1" applyBorder="1" applyAlignment="1" applyProtection="1">
      <alignment vertical="center"/>
    </xf>
    <xf numFmtId="0" fontId="2" fillId="11" borderId="20" xfId="0" applyFont="1" applyFill="1" applyBorder="1" applyAlignment="1">
      <alignment horizontal="center" vertical="center" wrapText="1"/>
    </xf>
    <xf numFmtId="0" fontId="2" fillId="11" borderId="33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168" fontId="0" fillId="0" borderId="15" xfId="0" applyNumberFormat="1" applyBorder="1" applyAlignment="1">
      <alignment horizontal="center" vertical="center"/>
    </xf>
    <xf numFmtId="169" fontId="15" fillId="0" borderId="15" xfId="4" applyNumberFormat="1" applyFont="1" applyBorder="1" applyAlignment="1">
      <alignment horizontal="center" vertical="center"/>
    </xf>
    <xf numFmtId="169" fontId="15" fillId="0" borderId="35" xfId="4" applyNumberFormat="1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168" fontId="0" fillId="0" borderId="36" xfId="0" applyNumberFormat="1" applyBorder="1" applyAlignment="1">
      <alignment horizontal="center" vertical="center"/>
    </xf>
    <xf numFmtId="169" fontId="15" fillId="0" borderId="36" xfId="4" applyNumberFormat="1" applyFont="1" applyBorder="1" applyAlignment="1">
      <alignment horizontal="center" vertical="center"/>
    </xf>
    <xf numFmtId="169" fontId="15" fillId="0" borderId="37" xfId="4" applyNumberFormat="1" applyFont="1" applyBorder="1" applyAlignment="1">
      <alignment horizontal="center" vertical="center"/>
    </xf>
    <xf numFmtId="168" fontId="0" fillId="0" borderId="25" xfId="0" applyNumberFormat="1" applyBorder="1" applyAlignment="1">
      <alignment horizontal="center" vertical="center"/>
    </xf>
    <xf numFmtId="169" fontId="15" fillId="0" borderId="25" xfId="4" applyNumberFormat="1" applyFont="1" applyBorder="1" applyAlignment="1">
      <alignment horizontal="center" vertical="center"/>
    </xf>
    <xf numFmtId="169" fontId="15" fillId="0" borderId="27" xfId="4" applyNumberFormat="1" applyFont="1" applyBorder="1" applyAlignment="1">
      <alignment horizontal="center" vertical="center"/>
    </xf>
    <xf numFmtId="168" fontId="0" fillId="0" borderId="1" xfId="0" applyNumberFormat="1" applyBorder="1" applyAlignment="1">
      <alignment horizontal="center" vertical="center"/>
    </xf>
    <xf numFmtId="169" fontId="15" fillId="0" borderId="1" xfId="4" applyNumberFormat="1" applyFont="1" applyBorder="1" applyAlignment="1">
      <alignment horizontal="center" vertical="center"/>
    </xf>
    <xf numFmtId="169" fontId="15" fillId="0" borderId="29" xfId="4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68" fontId="0" fillId="0" borderId="1" xfId="0" applyNumberFormat="1" applyFill="1" applyBorder="1" applyAlignment="1">
      <alignment horizontal="center" vertical="center"/>
    </xf>
    <xf numFmtId="169" fontId="15" fillId="0" borderId="1" xfId="4" applyNumberFormat="1" applyFont="1" applyFill="1" applyBorder="1" applyAlignment="1">
      <alignment horizontal="center" vertical="center"/>
    </xf>
    <xf numFmtId="169" fontId="15" fillId="0" borderId="29" xfId="4" applyNumberFormat="1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31" xfId="0" applyNumberFormat="1" applyBorder="1" applyAlignment="1">
      <alignment horizontal="center" vertical="center"/>
    </xf>
    <xf numFmtId="168" fontId="0" fillId="0" borderId="31" xfId="0" applyNumberFormat="1" applyBorder="1" applyAlignment="1">
      <alignment horizontal="center" vertical="center"/>
    </xf>
    <xf numFmtId="169" fontId="15" fillId="0" borderId="31" xfId="4" applyNumberFormat="1" applyFont="1" applyBorder="1" applyAlignment="1">
      <alignment horizontal="center" vertical="center"/>
    </xf>
    <xf numFmtId="169" fontId="15" fillId="0" borderId="32" xfId="4" applyNumberFormat="1" applyFont="1" applyBorder="1" applyAlignment="1">
      <alignment horizontal="center" vertical="center"/>
    </xf>
    <xf numFmtId="3" fontId="0" fillId="0" borderId="25" xfId="0" applyNumberFormat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3" fontId="0" fillId="0" borderId="15" xfId="0" applyNumberForma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3" fillId="0" borderId="0" xfId="0" applyFont="1" applyAlignment="1">
      <alignment horizontal="right" vertical="top"/>
    </xf>
    <xf numFmtId="0" fontId="2" fillId="9" borderId="0" xfId="3" applyFont="1" applyFill="1" applyAlignment="1" applyProtection="1">
      <alignment horizontal="left" vertical="top" wrapText="1"/>
    </xf>
    <xf numFmtId="0" fontId="2" fillId="0" borderId="0" xfId="0" applyFont="1" applyAlignment="1" applyProtection="1">
      <alignment horizontal="center" wrapText="1"/>
    </xf>
    <xf numFmtId="0" fontId="0" fillId="0" borderId="0" xfId="0" applyAlignment="1">
      <alignment horizontal="center" wrapText="1"/>
    </xf>
    <xf numFmtId="0" fontId="2" fillId="0" borderId="7" xfId="0" applyFont="1" applyFill="1" applyBorder="1" applyAlignment="1" applyProtection="1">
      <alignment horizontal="center" wrapText="1"/>
    </xf>
    <xf numFmtId="0" fontId="0" fillId="0" borderId="5" xfId="0" applyBorder="1" applyAlignment="1">
      <alignment wrapText="1"/>
    </xf>
    <xf numFmtId="0" fontId="2" fillId="0" borderId="3" xfId="0" applyFont="1" applyFill="1" applyBorder="1" applyAlignment="1" applyProtection="1">
      <alignment horizontal="center" wrapText="1"/>
    </xf>
    <xf numFmtId="0" fontId="0" fillId="0" borderId="6" xfId="0" applyBorder="1" applyAlignment="1">
      <alignment wrapText="1"/>
    </xf>
    <xf numFmtId="0" fontId="9" fillId="0" borderId="0" xfId="0" applyFont="1" applyAlignment="1" applyProtection="1">
      <alignment horizontal="left" vertical="top" wrapText="1" indent="1"/>
    </xf>
    <xf numFmtId="0" fontId="9" fillId="0" borderId="0" xfId="3" applyFont="1" applyAlignment="1" applyProtection="1">
      <alignment horizontal="left" vertical="top" wrapText="1" indent="1"/>
    </xf>
    <xf numFmtId="0" fontId="5" fillId="4" borderId="0" xfId="0" applyFont="1" applyFill="1" applyAlignment="1" applyProtection="1">
      <alignment horizontal="left" vertical="center"/>
    </xf>
    <xf numFmtId="0" fontId="2" fillId="0" borderId="8" xfId="0" applyFont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0" fontId="2" fillId="9" borderId="0" xfId="0" applyFont="1" applyFill="1" applyAlignment="1" applyProtection="1">
      <alignment horizontal="left" vertical="top" wrapText="1"/>
    </xf>
    <xf numFmtId="0" fontId="6" fillId="0" borderId="0" xfId="0" applyFont="1" applyAlignment="1" applyProtection="1">
      <alignment horizontal="center"/>
    </xf>
    <xf numFmtId="15" fontId="7" fillId="4" borderId="0" xfId="0" applyNumberFormat="1" applyFont="1" applyFill="1" applyAlignment="1">
      <alignment horizontal="right" vertical="top"/>
    </xf>
    <xf numFmtId="0" fontId="7" fillId="4" borderId="0" xfId="0" applyNumberFormat="1" applyFont="1" applyFill="1" applyAlignment="1">
      <alignment horizontal="right" vertical="top"/>
    </xf>
    <xf numFmtId="0" fontId="7" fillId="0" borderId="12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2" fillId="11" borderId="23" xfId="0" applyFont="1" applyFill="1" applyBorder="1" applyAlignment="1">
      <alignment horizontal="center" vertical="center" wrapText="1"/>
    </xf>
    <xf numFmtId="0" fontId="2" fillId="11" borderId="26" xfId="0" applyFont="1" applyFill="1" applyBorder="1" applyAlignment="1">
      <alignment horizontal="center" vertical="center" wrapText="1"/>
    </xf>
    <xf numFmtId="0" fontId="7" fillId="0" borderId="34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left" vertical="center" wrapText="1"/>
    </xf>
    <xf numFmtId="0" fontId="7" fillId="0" borderId="31" xfId="0" applyFont="1" applyBorder="1" applyAlignment="1">
      <alignment horizontal="left" vertical="center" wrapText="1"/>
    </xf>
    <xf numFmtId="0" fontId="0" fillId="0" borderId="2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3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0" fillId="0" borderId="38" xfId="0" applyBorder="1" applyAlignment="1">
      <alignment horizontal="left" vertical="center" wrapText="1"/>
    </xf>
  </cellXfs>
  <cellStyles count="5">
    <cellStyle name="Comma" xfId="1" builtinId="3"/>
    <cellStyle name="Currency" xfId="2" builtinId="4"/>
    <cellStyle name="Normal" xfId="0" builtinId="0"/>
    <cellStyle name="Normal 2" xfId="3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4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EB%20Rate%20Applications\2014%20COS%20Rate%20Rebasing\New%20Working%20Models%20August%202013\Revised_Filing_Requirements_Chapter2_Appendices_for%202014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casson\AppData\Local\Microsoft\Windows\Temporary%20Internet%20Files\Content.Outlook\XOHSVMVI\North%20Bay%202015%20Rate%20Design%20Model_Updated%20for%20IR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casson\AppData\Local\Microsoft\Windows\Temporary%20Internet%20Files\Content.Outlook\XOHSVMVI\Stranded%20Meter%20Calculation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casson\AppData\Local\Microsoft\Windows\Temporary%20Internet%20Files\Content.Outlook\XOHSVMVI\North%20Bay%202015_EDDVAR_Continuity_Schedule_CoS_v2_4_20141212%20-%20Staff%2031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casson\AppData\Local\Microsoft\Windows\Temporary%20Internet%20Files\Content.Outlook\XOHSVMVI\North%20Bay%202015_RTSR%20MODEL_V4_0_VECC%204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Table of Contents"/>
      <sheetName val="COS Flowchart"/>
      <sheetName val="List of Key References"/>
      <sheetName val="App.2-AA_Capital Projects"/>
      <sheetName val="App.2-AB_Capital Expenditures"/>
      <sheetName val="App.2-BA1_Fix Asset Cont.CGAAP"/>
      <sheetName val="App.2-BA2_Fix Asset Cont.MIFRS"/>
      <sheetName val="Appendix 2-BB Service Life Comp"/>
      <sheetName val="Instruction for App. 2-C MIFRS"/>
      <sheetName val="App.2-CA_CGAAP_DepExp_2011"/>
      <sheetName val="App.2-CB_MIFRS_DepExp_2011"/>
      <sheetName val="App.2-CC_MIFRS_DepExp_2012"/>
      <sheetName val="App.2-CD_MIFRS_DepExp_2013"/>
      <sheetName val="App.2-CE_MIFRS_DepExp_2014"/>
      <sheetName val="App.2-CF_CGAAP_DepExp_2012"/>
      <sheetName val="App.2-CG_MIFRS_DepExp_2012"/>
      <sheetName val="App.2-CH_MIFRS_DepExp_2013"/>
      <sheetName val="App.2-CI_MIFRS_DepExp_2014"/>
      <sheetName val="App.2-CJ_CGAAP_DepExp_2012"/>
      <sheetName val="App.2-CK_CGAAP_DepExp_2013"/>
      <sheetName val="App.2-CL_MIFRS_DepExp_2013"/>
      <sheetName val="App.2-CM_MIFRS_DepExp_2014"/>
      <sheetName val="Instruction for App. 2-C CGAAP"/>
      <sheetName val="App.2-CN_OldCGAAP_DepExp_2012"/>
      <sheetName val="App.2-CO_NewCGAAP_DepExp_2012"/>
      <sheetName val="App.2-CP_NewCGAAP_DepExp_2013"/>
      <sheetName val="App.2-CQ NewCGAAP_DepExp_2014"/>
      <sheetName val="App.2-CR_OldCGAAP_DepExp_2012"/>
      <sheetName val="App.2-CS_OldCGAAP_DepExp_2013"/>
      <sheetName val="App.2-CT_NewCGAAP_DepExp_2013"/>
      <sheetName val="App.2-CU_NewCGAAP_DepExp_2014"/>
      <sheetName val="App.2-CV_USGAAP_DepExp"/>
      <sheetName val="App.2-DA_Overhead"/>
      <sheetName val="App.2-DB_Overhead"/>
      <sheetName val="App.2-EA_PP&amp;E Deferral Account"/>
      <sheetName val="App.2-EB_PP&amp;E Deferral Account"/>
      <sheetName val="App.2-EC_PP&amp;E Deferral Account"/>
      <sheetName val="App.2-ED_Account 1576 (2012)"/>
      <sheetName val="App.2-EE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.2-I LF_CDM_WF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YA_MIFRS Summary Impacts"/>
      <sheetName val="App. 2-YB_CGAAP Summary Impacts"/>
      <sheetName val="App. 2-Z_Tariff"/>
      <sheetName val="lists"/>
      <sheetName val="lists2"/>
      <sheetName val="Sheet19"/>
    </sheetNames>
    <sheetDataSet>
      <sheetData sheetId="0" refreshError="1">
        <row r="16">
          <cell r="E16" t="str">
            <v>EB-2013-0116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enue Input"/>
      <sheetName val="Transformer Allowance"/>
      <sheetName val="Forecast Data For 2015"/>
      <sheetName val="2014 Existing Rates"/>
      <sheetName val="2015 Test Yr On Existing Rates"/>
      <sheetName val="Cost Allocation Study"/>
      <sheetName val="Rates By Rate Class"/>
      <sheetName val="Allocation Low Voltage Costs"/>
      <sheetName val="Low Voltage Rates"/>
      <sheetName val="Distribution Rate Schedule"/>
      <sheetName val="BILL IMPACTS"/>
      <sheetName val="Rate Schedule "/>
      <sheetName val="Dist. Rev. Reconciliation"/>
      <sheetName val="Revenue Deficiency Analysis"/>
      <sheetName val="Appendix 2-O Table a"/>
      <sheetName val="Appendix 2-O Table b"/>
      <sheetName val="Appendix 2-O Table c"/>
      <sheetName val="Appendix 2-O Table d"/>
    </sheetNames>
    <sheetDataSet>
      <sheetData sheetId="0"/>
      <sheetData sheetId="1"/>
      <sheetData sheetId="2"/>
      <sheetData sheetId="3">
        <row r="6">
          <cell r="C6">
            <v>14.64</v>
          </cell>
          <cell r="E6">
            <v>1.3100000000000001E-2</v>
          </cell>
        </row>
        <row r="7">
          <cell r="C7">
            <v>21.69</v>
          </cell>
          <cell r="E7">
            <v>1.67E-2</v>
          </cell>
        </row>
        <row r="8">
          <cell r="C8">
            <v>293.97000000000003</v>
          </cell>
          <cell r="D8">
            <v>2.0966</v>
          </cell>
        </row>
        <row r="9">
          <cell r="C9">
            <v>5844.1</v>
          </cell>
          <cell r="D9">
            <v>1.115</v>
          </cell>
        </row>
        <row r="10">
          <cell r="B10">
            <v>4.88</v>
          </cell>
          <cell r="D10">
            <v>26.125499999999999</v>
          </cell>
        </row>
        <row r="11">
          <cell r="B11">
            <v>4.42</v>
          </cell>
          <cell r="D11">
            <v>15.436999999999999</v>
          </cell>
        </row>
        <row r="12">
          <cell r="B12">
            <v>7.03</v>
          </cell>
          <cell r="E12">
            <v>1.6199999999999999E-2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>
        <row r="10">
          <cell r="E10">
            <v>16.73</v>
          </cell>
        </row>
        <row r="11">
          <cell r="E11">
            <v>1.4999999999999999E-2</v>
          </cell>
        </row>
        <row r="12">
          <cell r="E12">
            <v>6.9999999999999994E-5</v>
          </cell>
        </row>
        <row r="16">
          <cell r="E16">
            <v>24.79</v>
          </cell>
        </row>
        <row r="17">
          <cell r="E17">
            <v>1.9099999999999999E-2</v>
          </cell>
        </row>
        <row r="18">
          <cell r="E18">
            <v>6.9999999999999994E-5</v>
          </cell>
        </row>
        <row r="22">
          <cell r="E22">
            <v>341.7</v>
          </cell>
        </row>
        <row r="23">
          <cell r="E23">
            <v>2.4098000000000002</v>
          </cell>
        </row>
        <row r="24">
          <cell r="E24">
            <v>2.58E-2</v>
          </cell>
        </row>
        <row r="28">
          <cell r="E28">
            <v>6678.53</v>
          </cell>
        </row>
        <row r="29">
          <cell r="E29">
            <v>1.1884999999999999</v>
          </cell>
        </row>
        <row r="30">
          <cell r="E30">
            <v>2.8500000000000001E-2</v>
          </cell>
        </row>
        <row r="34">
          <cell r="E34">
            <v>5.2</v>
          </cell>
        </row>
        <row r="35">
          <cell r="E35">
            <v>27.833600000000001</v>
          </cell>
        </row>
        <row r="36">
          <cell r="E36">
            <v>0.02</v>
          </cell>
        </row>
        <row r="41">
          <cell r="E41">
            <v>5.0510999999999999</v>
          </cell>
        </row>
        <row r="42">
          <cell r="E42">
            <v>17.641100000000002</v>
          </cell>
        </row>
        <row r="43">
          <cell r="E43">
            <v>2.0400000000000001E-2</v>
          </cell>
        </row>
        <row r="47">
          <cell r="E47">
            <v>5.5948000000000002</v>
          </cell>
        </row>
        <row r="48">
          <cell r="E48">
            <v>1.29E-2</v>
          </cell>
        </row>
        <row r="49">
          <cell r="E49">
            <v>6.9999999999999994E-5</v>
          </cell>
        </row>
      </sheetData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anded Meter Calc"/>
      <sheetName val="Meters"/>
      <sheetName val="860 Datadump"/>
      <sheetName val="CC Meters"/>
      <sheetName val="CC Datadump"/>
    </sheetNames>
    <sheetDataSet>
      <sheetData sheetId="0">
        <row r="103">
          <cell r="B103">
            <v>0.85</v>
          </cell>
        </row>
        <row r="108">
          <cell r="B108">
            <v>1.92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 Sheet"/>
      <sheetName val="2. 2014 Continuity Schedule"/>
      <sheetName val="3. Appendix A"/>
      <sheetName val="4. Billing Determinants"/>
      <sheetName val="5. Allocation of Balances"/>
      <sheetName val="6. Rate Rider Calculations"/>
      <sheetName val="Summary Sheet"/>
    </sheetNames>
    <sheetDataSet>
      <sheetData sheetId="0"/>
      <sheetData sheetId="1"/>
      <sheetData sheetId="2"/>
      <sheetData sheetId="3"/>
      <sheetData sheetId="4"/>
      <sheetData sheetId="5">
        <row r="20">
          <cell r="F20">
            <v>-1.0353326935341441E-3</v>
          </cell>
        </row>
        <row r="21">
          <cell r="F21">
            <v>1.2383652246340647E-4</v>
          </cell>
        </row>
        <row r="22">
          <cell r="F22">
            <v>0.5491175066874534</v>
          </cell>
        </row>
        <row r="23">
          <cell r="F23">
            <v>0.89415342515110929</v>
          </cell>
        </row>
        <row r="24">
          <cell r="F24">
            <v>-3.1063727715660515E-3</v>
          </cell>
        </row>
        <row r="25">
          <cell r="F25">
            <v>-4.3391414870616778</v>
          </cell>
        </row>
        <row r="26">
          <cell r="F26">
            <v>-12.191685098070534</v>
          </cell>
        </row>
        <row r="49">
          <cell r="F49">
            <v>0.71861469582309112</v>
          </cell>
        </row>
        <row r="50">
          <cell r="F50">
            <v>0.90882007219536498</v>
          </cell>
        </row>
        <row r="51">
          <cell r="F51">
            <v>0</v>
          </cell>
        </row>
        <row r="52">
          <cell r="F52">
            <v>0.60560111124844973</v>
          </cell>
        </row>
        <row r="53">
          <cell r="F53">
            <v>0.63712650613788802</v>
          </cell>
        </row>
        <row r="75">
          <cell r="F75">
            <v>-7.1014119500589033E-3</v>
          </cell>
        </row>
        <row r="76">
          <cell r="F76">
            <v>-7.1014119500589033E-3</v>
          </cell>
        </row>
        <row r="77">
          <cell r="F77">
            <v>-2.8664083566574554</v>
          </cell>
        </row>
        <row r="78">
          <cell r="F78">
            <v>-3.6250990479049956</v>
          </cell>
        </row>
        <row r="79">
          <cell r="F79">
            <v>-7.1014119500589033E-3</v>
          </cell>
        </row>
        <row r="80">
          <cell r="F80">
            <v>-2.4156200759230537</v>
          </cell>
        </row>
        <row r="81">
          <cell r="F81">
            <v>-2.5413684858613026</v>
          </cell>
        </row>
        <row r="103">
          <cell r="F103">
            <v>2.0617237370664865E-4</v>
          </cell>
        </row>
        <row r="104">
          <cell r="F104">
            <v>9.0291109723667786E-4</v>
          </cell>
        </row>
        <row r="105">
          <cell r="F105">
            <v>7.3656815787806224E-2</v>
          </cell>
        </row>
        <row r="109">
          <cell r="F109">
            <v>13.032701418722425</v>
          </cell>
        </row>
      </sheetData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"/>
      <sheetName val="2. Table of Contents"/>
      <sheetName val="3. Rate Classes"/>
      <sheetName val="4. RRR Data"/>
      <sheetName val="5. UTRs and Sub-Transmission"/>
      <sheetName val="6. Historical Wholesale"/>
      <sheetName val="7. Current Wholesale"/>
      <sheetName val="8. Forecast Wholesale"/>
      <sheetName val="9. Adj Network to Current WS"/>
      <sheetName val="10. Adj Conn. to Current WS"/>
      <sheetName val="11. Adj Network to Forecast WS"/>
      <sheetName val="12. Adj Conn. to Forecast WS"/>
      <sheetName val="13. Final 2015 RTS Rates"/>
      <sheetName val="hidden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6">
          <cell r="F26">
            <v>7.5166324038951132E-3</v>
          </cell>
          <cell r="H26">
            <v>5.857883813739073E-3</v>
          </cell>
        </row>
        <row r="27">
          <cell r="F27">
            <v>7.0871105522439639E-3</v>
          </cell>
          <cell r="H27">
            <v>5.3052532652731223E-3</v>
          </cell>
        </row>
        <row r="28">
          <cell r="F28">
            <v>2.8142271720183309</v>
          </cell>
          <cell r="H28">
            <v>2.0809855933033821</v>
          </cell>
        </row>
        <row r="29">
          <cell r="F29">
            <v>2.9851768689754885</v>
          </cell>
          <cell r="H29">
            <v>2.2998272904958981</v>
          </cell>
        </row>
        <row r="30">
          <cell r="F30">
            <v>7.0871105522439639E-3</v>
          </cell>
          <cell r="H30">
            <v>5.3052532652731205E-3</v>
          </cell>
        </row>
        <row r="31">
          <cell r="F31">
            <v>2.1330055152996081</v>
          </cell>
          <cell r="H31">
            <v>1.6423074639311108</v>
          </cell>
        </row>
        <row r="32">
          <cell r="F32">
            <v>2.122374849471242</v>
          </cell>
          <cell r="H32">
            <v>1.6085970004746881</v>
          </cell>
        </row>
      </sheetData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theme="0" tint="-0.14999847407452621"/>
    <pageSetUpPr fitToPage="1"/>
  </sheetPr>
  <dimension ref="A1:T90"/>
  <sheetViews>
    <sheetView showGridLines="0" tabSelected="1" workbookViewId="0">
      <selection activeCell="B1" sqref="B1"/>
    </sheetView>
  </sheetViews>
  <sheetFormatPr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8.5703125" style="7" customWidth="1"/>
    <col min="8" max="8" width="9.7109375" style="7" customWidth="1"/>
    <col min="9" max="9" width="2.85546875" style="7" customWidth="1"/>
    <col min="10" max="10" width="12.140625" style="7" customWidth="1"/>
    <col min="11" max="11" width="8.5703125" style="7" customWidth="1"/>
    <col min="12" max="12" width="9.7109375" style="7" customWidth="1"/>
    <col min="13" max="13" width="2.85546875" style="7" customWidth="1"/>
    <col min="14" max="14" width="11.5703125" style="7" customWidth="1"/>
    <col min="15" max="15" width="10.85546875" style="7" bestFit="1" customWidth="1"/>
    <col min="16" max="16" width="6.4257812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248" t="s">
        <v>93</v>
      </c>
      <c r="O1" s="248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94</v>
      </c>
      <c r="N2" s="249">
        <v>8</v>
      </c>
      <c r="O2" s="249"/>
    </row>
    <row r="3" spans="1:20" s="2" customFormat="1" ht="15" customHeight="1" x14ac:dyDescent="0.25">
      <c r="C3" s="6"/>
      <c r="D3" s="6"/>
      <c r="E3" s="6"/>
      <c r="L3" s="3" t="s">
        <v>95</v>
      </c>
      <c r="N3" s="248" t="s">
        <v>96</v>
      </c>
      <c r="O3" s="248"/>
    </row>
    <row r="4" spans="1:20" s="2" customFormat="1" ht="9" customHeight="1" x14ac:dyDescent="0.25">
      <c r="L4" s="3"/>
      <c r="N4" s="4"/>
      <c r="O4"/>
    </row>
    <row r="5" spans="1:20" s="2" customFormat="1" x14ac:dyDescent="0.25">
      <c r="L5" s="3" t="s">
        <v>75</v>
      </c>
      <c r="N5" s="248">
        <v>42118</v>
      </c>
      <c r="O5" s="248"/>
    </row>
    <row r="6" spans="1:20" s="2" customFormat="1" ht="15" customHeight="1" x14ac:dyDescent="0.25">
      <c r="N6" s="7"/>
      <c r="O6"/>
      <c r="P6"/>
    </row>
    <row r="7" spans="1:20" ht="7.5" customHeight="1" x14ac:dyDescent="0.25">
      <c r="L7"/>
      <c r="M7"/>
      <c r="N7"/>
      <c r="O7"/>
      <c r="P7"/>
    </row>
    <row r="8" spans="1:20" ht="18.75" customHeight="1" x14ac:dyDescent="0.25">
      <c r="B8" s="247" t="s">
        <v>1</v>
      </c>
      <c r="C8" s="247"/>
      <c r="D8" s="247"/>
      <c r="E8" s="247"/>
      <c r="F8" s="247"/>
      <c r="G8" s="247"/>
      <c r="H8" s="247"/>
      <c r="I8" s="247"/>
      <c r="J8" s="247"/>
      <c r="K8" s="247"/>
      <c r="L8" s="247"/>
      <c r="M8" s="247"/>
      <c r="N8" s="247"/>
      <c r="O8" s="247"/>
      <c r="P8"/>
    </row>
    <row r="9" spans="1:20" ht="18.75" customHeight="1" x14ac:dyDescent="0.25">
      <c r="B9" s="247" t="s">
        <v>2</v>
      </c>
      <c r="C9" s="247"/>
      <c r="D9" s="247"/>
      <c r="E9" s="247"/>
      <c r="F9" s="247"/>
      <c r="G9" s="247"/>
      <c r="H9" s="247"/>
      <c r="I9" s="247"/>
      <c r="J9" s="247"/>
      <c r="K9" s="247"/>
      <c r="L9" s="247"/>
      <c r="M9" s="247"/>
      <c r="N9" s="247"/>
      <c r="O9" s="247"/>
      <c r="P9"/>
    </row>
    <row r="10" spans="1:20" ht="7.5" customHeight="1" x14ac:dyDescent="0.25">
      <c r="L10"/>
      <c r="M10"/>
      <c r="N10"/>
      <c r="O10"/>
      <c r="P10"/>
    </row>
    <row r="11" spans="1:20" ht="7.5" customHeight="1" x14ac:dyDescent="0.25">
      <c r="L11"/>
      <c r="M11"/>
      <c r="N11"/>
      <c r="O11"/>
      <c r="P11"/>
    </row>
    <row r="12" spans="1:20" ht="15.75" x14ac:dyDescent="0.25">
      <c r="B12" s="8" t="s">
        <v>3</v>
      </c>
      <c r="D12" s="242" t="s">
        <v>59</v>
      </c>
      <c r="E12" s="242"/>
      <c r="F12" s="242"/>
      <c r="G12" s="242"/>
      <c r="H12" s="242"/>
      <c r="I12" s="242"/>
      <c r="J12" s="242"/>
      <c r="K12" s="242"/>
      <c r="L12" s="242"/>
      <c r="M12" s="242"/>
      <c r="N12" s="242"/>
      <c r="O12" s="242"/>
    </row>
    <row r="13" spans="1:20" ht="7.5" customHeight="1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5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x14ac:dyDescent="0.25">
      <c r="B16" s="12"/>
      <c r="D16" s="13" t="s">
        <v>6</v>
      </c>
      <c r="E16" s="13"/>
      <c r="F16" s="14">
        <v>100</v>
      </c>
      <c r="G16" s="13" t="s">
        <v>7</v>
      </c>
    </row>
    <row r="17" spans="2:15" x14ac:dyDescent="0.25">
      <c r="B17" s="12"/>
    </row>
    <row r="18" spans="2:15" x14ac:dyDescent="0.25">
      <c r="B18" s="12"/>
      <c r="D18" s="15"/>
      <c r="E18" s="15"/>
      <c r="F18" s="243" t="s">
        <v>8</v>
      </c>
      <c r="G18" s="244"/>
      <c r="H18" s="245"/>
      <c r="J18" s="243" t="s">
        <v>9</v>
      </c>
      <c r="K18" s="244"/>
      <c r="L18" s="245"/>
      <c r="N18" s="243" t="s">
        <v>10</v>
      </c>
      <c r="O18" s="245"/>
    </row>
    <row r="19" spans="2:15" x14ac:dyDescent="0.25">
      <c r="B19" s="12"/>
      <c r="D19" s="234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236" t="s">
        <v>15</v>
      </c>
      <c r="O19" s="238" t="s">
        <v>16</v>
      </c>
    </row>
    <row r="20" spans="2:15" x14ac:dyDescent="0.25">
      <c r="B20" s="12"/>
      <c r="D20" s="235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237"/>
      <c r="O20" s="239"/>
    </row>
    <row r="21" spans="2:15" ht="22.5" customHeight="1" x14ac:dyDescent="0.25">
      <c r="B21" s="22" t="s">
        <v>18</v>
      </c>
      <c r="C21" s="22"/>
      <c r="D21" s="23" t="s">
        <v>60</v>
      </c>
      <c r="E21" s="24"/>
      <c r="F21" s="174">
        <f>'[2]2014 Existing Rates'!$C$6</f>
        <v>14.64</v>
      </c>
      <c r="G21" s="26">
        <v>1</v>
      </c>
      <c r="H21" s="27">
        <f>G21*F21</f>
        <v>14.64</v>
      </c>
      <c r="I21" s="28"/>
      <c r="J21" s="173">
        <f>'[2]Rate Schedule '!$E$10</f>
        <v>16.73</v>
      </c>
      <c r="K21" s="30">
        <v>1</v>
      </c>
      <c r="L21" s="27">
        <f>K21*J21</f>
        <v>16.73</v>
      </c>
      <c r="M21" s="28"/>
      <c r="N21" s="31">
        <f>L21-H21</f>
        <v>2.09</v>
      </c>
      <c r="O21" s="32">
        <f>IF((H21)=0,"",(N21/H21))</f>
        <v>0.14275956284153005</v>
      </c>
    </row>
    <row r="22" spans="2:15" ht="36.75" customHeight="1" x14ac:dyDescent="0.25">
      <c r="B22" s="65" t="s">
        <v>80</v>
      </c>
      <c r="C22" s="22"/>
      <c r="D22" s="56" t="s">
        <v>60</v>
      </c>
      <c r="E22" s="24"/>
      <c r="F22" s="173">
        <v>1.33</v>
      </c>
      <c r="G22" s="26">
        <v>1</v>
      </c>
      <c r="H22" s="27">
        <f t="shared" ref="H22:H37" si="0">G22*F22</f>
        <v>1.33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-1.33</v>
      </c>
      <c r="O22" s="32">
        <f>IF((H22)=0,"",(N22/H22))</f>
        <v>-1</v>
      </c>
    </row>
    <row r="23" spans="2:15" ht="36.75" customHeight="1" x14ac:dyDescent="0.25">
      <c r="B23" s="175" t="s">
        <v>63</v>
      </c>
      <c r="C23" s="22"/>
      <c r="D23" s="56" t="s">
        <v>60</v>
      </c>
      <c r="E23" s="57"/>
      <c r="F23" s="173">
        <v>1.37</v>
      </c>
      <c r="G23" s="26">
        <v>1</v>
      </c>
      <c r="H23" s="27">
        <f t="shared" si="0"/>
        <v>1.37</v>
      </c>
      <c r="I23" s="28"/>
      <c r="J23" s="29"/>
      <c r="K23" s="30">
        <v>1</v>
      </c>
      <c r="L23" s="27">
        <f t="shared" ref="L23:L37" si="1">K23*J23</f>
        <v>0</v>
      </c>
      <c r="M23" s="28"/>
      <c r="N23" s="31">
        <f t="shared" ref="N23:N38" si="2">L23-H23</f>
        <v>-1.37</v>
      </c>
      <c r="O23" s="32">
        <f t="shared" ref="O23:O38" si="3">IF((H23)=0,"",(N23/H23))</f>
        <v>-1</v>
      </c>
    </row>
    <row r="24" spans="2:15" x14ac:dyDescent="0.25">
      <c r="B24" s="175" t="s">
        <v>64</v>
      </c>
      <c r="C24" s="22"/>
      <c r="D24" s="23" t="s">
        <v>60</v>
      </c>
      <c r="E24" s="24"/>
      <c r="F24" s="25"/>
      <c r="G24" s="26">
        <v>1</v>
      </c>
      <c r="H24" s="27">
        <f t="shared" si="0"/>
        <v>0</v>
      </c>
      <c r="I24" s="28"/>
      <c r="J24" s="173">
        <f>'[3]Stranded Meter Calc'!$B$103</f>
        <v>0.85</v>
      </c>
      <c r="K24" s="30">
        <v>1</v>
      </c>
      <c r="L24" s="27">
        <f t="shared" si="1"/>
        <v>0.85</v>
      </c>
      <c r="M24" s="28"/>
      <c r="N24" s="31">
        <f t="shared" si="2"/>
        <v>0.85</v>
      </c>
      <c r="O24" s="32" t="str">
        <f t="shared" si="3"/>
        <v/>
      </c>
    </row>
    <row r="25" spans="2:15" x14ac:dyDescent="0.25">
      <c r="B25" s="175" t="s">
        <v>88</v>
      </c>
      <c r="C25" s="22"/>
      <c r="D25" s="23" t="s">
        <v>61</v>
      </c>
      <c r="E25" s="24"/>
      <c r="F25" s="25">
        <v>0</v>
      </c>
      <c r="G25" s="26">
        <f t="shared" ref="G25" si="4">$F$16</f>
        <v>100</v>
      </c>
      <c r="H25" s="27">
        <f t="shared" si="0"/>
        <v>0</v>
      </c>
      <c r="I25" s="28"/>
      <c r="J25" s="29">
        <f>'[4]6. Rate Rider Calculations'!$F$103</f>
        <v>2.0617237370664865E-4</v>
      </c>
      <c r="K25" s="26">
        <f>$F$16</f>
        <v>100</v>
      </c>
      <c r="L25" s="27">
        <f t="shared" si="1"/>
        <v>2.0617237370664863E-2</v>
      </c>
      <c r="M25" s="28"/>
      <c r="N25" s="31">
        <f t="shared" si="2"/>
        <v>2.0617237370664863E-2</v>
      </c>
      <c r="O25" s="32" t="str">
        <f t="shared" si="3"/>
        <v/>
      </c>
    </row>
    <row r="26" spans="2:15" x14ac:dyDescent="0.25">
      <c r="B26" s="46" t="s">
        <v>65</v>
      </c>
      <c r="C26" s="22"/>
      <c r="D26" s="23" t="s">
        <v>61</v>
      </c>
      <c r="E26" s="24"/>
      <c r="F26" s="25">
        <v>-2.0000000000000001E-4</v>
      </c>
      <c r="G26" s="26">
        <f>$F$16</f>
        <v>100</v>
      </c>
      <c r="H26" s="27">
        <f t="shared" si="0"/>
        <v>-0.02</v>
      </c>
      <c r="I26" s="28"/>
      <c r="J26" s="173"/>
      <c r="K26" s="26">
        <f>$F$16</f>
        <v>100</v>
      </c>
      <c r="L26" s="27">
        <f t="shared" si="1"/>
        <v>0</v>
      </c>
      <c r="M26" s="28"/>
      <c r="N26" s="31">
        <f t="shared" si="2"/>
        <v>0.02</v>
      </c>
      <c r="O26" s="32">
        <f t="shared" si="3"/>
        <v>-1</v>
      </c>
    </row>
    <row r="27" spans="2:15" x14ac:dyDescent="0.25">
      <c r="B27" s="46" t="s">
        <v>66</v>
      </c>
      <c r="C27" s="22"/>
      <c r="D27" s="23" t="s">
        <v>61</v>
      </c>
      <c r="E27" s="24"/>
      <c r="F27" s="25"/>
      <c r="G27" s="26">
        <f>$F$16</f>
        <v>100</v>
      </c>
      <c r="H27" s="27">
        <f t="shared" si="0"/>
        <v>0</v>
      </c>
      <c r="I27" s="28"/>
      <c r="J27" s="29">
        <f>'[4]6. Rate Rider Calculations'!$F$75</f>
        <v>-7.1014119500589033E-3</v>
      </c>
      <c r="K27" s="26">
        <f>$F$16</f>
        <v>100</v>
      </c>
      <c r="L27" s="27">
        <f t="shared" si="1"/>
        <v>-0.71014119500589035</v>
      </c>
      <c r="M27" s="28"/>
      <c r="N27" s="31">
        <f t="shared" si="2"/>
        <v>-0.71014119500589035</v>
      </c>
      <c r="O27" s="32" t="str">
        <f t="shared" si="3"/>
        <v/>
      </c>
    </row>
    <row r="28" spans="2:15" x14ac:dyDescent="0.25">
      <c r="B28" s="22" t="s">
        <v>19</v>
      </c>
      <c r="C28" s="22"/>
      <c r="D28" s="23" t="s">
        <v>61</v>
      </c>
      <c r="E28" s="24"/>
      <c r="F28" s="25">
        <f>'[2]2014 Existing Rates'!$E$6</f>
        <v>1.3100000000000001E-2</v>
      </c>
      <c r="G28" s="26">
        <f>$F$16</f>
        <v>100</v>
      </c>
      <c r="H28" s="27">
        <f t="shared" si="0"/>
        <v>1.31</v>
      </c>
      <c r="I28" s="28"/>
      <c r="J28" s="29">
        <f>'[2]Rate Schedule '!$E$11</f>
        <v>1.4999999999999999E-2</v>
      </c>
      <c r="K28" s="26">
        <f>$F$16</f>
        <v>100</v>
      </c>
      <c r="L28" s="27">
        <f t="shared" si="1"/>
        <v>1.5</v>
      </c>
      <c r="M28" s="28"/>
      <c r="N28" s="31">
        <f t="shared" si="2"/>
        <v>0.18999999999999995</v>
      </c>
      <c r="O28" s="32">
        <f t="shared" si="3"/>
        <v>0.14503816793893126</v>
      </c>
    </row>
    <row r="29" spans="2:15" hidden="1" x14ac:dyDescent="0.25">
      <c r="B29" s="22" t="s">
        <v>20</v>
      </c>
      <c r="C29" s="22"/>
      <c r="D29" s="23"/>
      <c r="E29" s="24"/>
      <c r="F29" s="25"/>
      <c r="G29" s="26">
        <f>$F$16</f>
        <v>100</v>
      </c>
      <c r="H29" s="27">
        <f t="shared" si="0"/>
        <v>0</v>
      </c>
      <c r="I29" s="28"/>
      <c r="J29" s="29"/>
      <c r="K29" s="26">
        <f t="shared" ref="K29:K37" si="5">$F$16</f>
        <v>100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idden="1" x14ac:dyDescent="0.25">
      <c r="B30" s="22" t="s">
        <v>21</v>
      </c>
      <c r="C30" s="22"/>
      <c r="D30" s="23"/>
      <c r="E30" s="24"/>
      <c r="F30" s="25"/>
      <c r="G30" s="26">
        <f>$F$16</f>
        <v>100</v>
      </c>
      <c r="H30" s="27">
        <f t="shared" si="0"/>
        <v>0</v>
      </c>
      <c r="I30" s="28"/>
      <c r="J30" s="29"/>
      <c r="K30" s="26">
        <f t="shared" si="5"/>
        <v>100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idden="1" x14ac:dyDescent="0.25">
      <c r="B31" s="33"/>
      <c r="C31" s="22"/>
      <c r="D31" s="23"/>
      <c r="E31" s="24"/>
      <c r="F31" s="25"/>
      <c r="G31" s="26">
        <f t="shared" ref="G31:G37" si="6">$F$16</f>
        <v>100</v>
      </c>
      <c r="H31" s="27">
        <f t="shared" si="0"/>
        <v>0</v>
      </c>
      <c r="I31" s="28"/>
      <c r="J31" s="29"/>
      <c r="K31" s="26">
        <f t="shared" si="5"/>
        <v>100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idden="1" x14ac:dyDescent="0.25">
      <c r="B32" s="33"/>
      <c r="C32" s="22"/>
      <c r="D32" s="23"/>
      <c r="E32" s="24"/>
      <c r="F32" s="25"/>
      <c r="G32" s="26">
        <f t="shared" si="6"/>
        <v>100</v>
      </c>
      <c r="H32" s="27">
        <f t="shared" si="0"/>
        <v>0</v>
      </c>
      <c r="I32" s="28"/>
      <c r="J32" s="29"/>
      <c r="K32" s="26">
        <f t="shared" si="5"/>
        <v>100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idden="1" x14ac:dyDescent="0.25">
      <c r="B33" s="33"/>
      <c r="C33" s="22"/>
      <c r="D33" s="23"/>
      <c r="E33" s="24"/>
      <c r="F33" s="25"/>
      <c r="G33" s="26">
        <f t="shared" si="6"/>
        <v>100</v>
      </c>
      <c r="H33" s="27">
        <f t="shared" si="0"/>
        <v>0</v>
      </c>
      <c r="I33" s="28"/>
      <c r="J33" s="29"/>
      <c r="K33" s="26">
        <f t="shared" si="5"/>
        <v>100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idden="1" x14ac:dyDescent="0.25">
      <c r="B34" s="33"/>
      <c r="C34" s="22"/>
      <c r="D34" s="23"/>
      <c r="E34" s="24"/>
      <c r="F34" s="25"/>
      <c r="G34" s="26">
        <f t="shared" si="6"/>
        <v>100</v>
      </c>
      <c r="H34" s="27">
        <f t="shared" si="0"/>
        <v>0</v>
      </c>
      <c r="I34" s="28"/>
      <c r="J34" s="29"/>
      <c r="K34" s="26">
        <f t="shared" si="5"/>
        <v>100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idden="1" x14ac:dyDescent="0.25">
      <c r="B35" s="33"/>
      <c r="C35" s="22"/>
      <c r="D35" s="23"/>
      <c r="E35" s="24"/>
      <c r="F35" s="25"/>
      <c r="G35" s="26">
        <f t="shared" si="6"/>
        <v>100</v>
      </c>
      <c r="H35" s="27">
        <f t="shared" si="0"/>
        <v>0</v>
      </c>
      <c r="I35" s="28"/>
      <c r="J35" s="29"/>
      <c r="K35" s="26">
        <f t="shared" si="5"/>
        <v>100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idden="1" x14ac:dyDescent="0.25">
      <c r="B36" s="33"/>
      <c r="C36" s="22"/>
      <c r="D36" s="23"/>
      <c r="E36" s="24"/>
      <c r="F36" s="25"/>
      <c r="G36" s="26">
        <f t="shared" si="6"/>
        <v>100</v>
      </c>
      <c r="H36" s="27">
        <f t="shared" si="0"/>
        <v>0</v>
      </c>
      <c r="I36" s="28"/>
      <c r="J36" s="29"/>
      <c r="K36" s="26">
        <f t="shared" si="5"/>
        <v>100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hidden="1" x14ac:dyDescent="0.25">
      <c r="B37" s="33"/>
      <c r="C37" s="22"/>
      <c r="D37" s="23"/>
      <c r="E37" s="24"/>
      <c r="F37" s="25"/>
      <c r="G37" s="26">
        <f t="shared" si="6"/>
        <v>100</v>
      </c>
      <c r="H37" s="27">
        <f t="shared" si="0"/>
        <v>0</v>
      </c>
      <c r="I37" s="28"/>
      <c r="J37" s="29"/>
      <c r="K37" s="26">
        <f t="shared" si="5"/>
        <v>100</v>
      </c>
      <c r="L37" s="27">
        <f t="shared" si="1"/>
        <v>0</v>
      </c>
      <c r="M37" s="28"/>
      <c r="N37" s="31">
        <f t="shared" si="2"/>
        <v>0</v>
      </c>
      <c r="O37" s="32" t="str">
        <f t="shared" si="3"/>
        <v/>
      </c>
    </row>
    <row r="38" spans="2:15" s="34" customFormat="1" x14ac:dyDescent="0.25">
      <c r="B38" s="35" t="s">
        <v>22</v>
      </c>
      <c r="C38" s="36"/>
      <c r="D38" s="37"/>
      <c r="E38" s="36"/>
      <c r="F38" s="38"/>
      <c r="G38" s="39"/>
      <c r="H38" s="40">
        <f>SUM(H21:H37)</f>
        <v>18.63</v>
      </c>
      <c r="I38" s="41"/>
      <c r="J38" s="42"/>
      <c r="K38" s="43"/>
      <c r="L38" s="40">
        <f>SUM(L21:L37)</f>
        <v>18.390476042364778</v>
      </c>
      <c r="M38" s="41"/>
      <c r="N38" s="44">
        <f t="shared" si="2"/>
        <v>-0.23952395763522105</v>
      </c>
      <c r="O38" s="45">
        <f t="shared" si="3"/>
        <v>-1.28568952031788E-2</v>
      </c>
    </row>
    <row r="39" spans="2:15" hidden="1" x14ac:dyDescent="0.25">
      <c r="B39" s="175"/>
      <c r="C39" s="22"/>
      <c r="D39" s="56" t="s">
        <v>60</v>
      </c>
      <c r="E39" s="24"/>
      <c r="F39" s="25"/>
      <c r="G39" s="26">
        <v>1</v>
      </c>
      <c r="H39" s="27">
        <f>G39*F39</f>
        <v>0</v>
      </c>
      <c r="I39" s="28"/>
      <c r="J39" s="173"/>
      <c r="K39" s="30">
        <v>1</v>
      </c>
      <c r="L39" s="27">
        <f>K39*J39</f>
        <v>0</v>
      </c>
      <c r="M39" s="28"/>
      <c r="N39" s="31">
        <f>L39-H39</f>
        <v>0</v>
      </c>
      <c r="O39" s="32" t="str">
        <f>IF((H39)=0,"",(N39/H39))</f>
        <v/>
      </c>
    </row>
    <row r="40" spans="2:15" x14ac:dyDescent="0.25">
      <c r="B40" s="46" t="s">
        <v>23</v>
      </c>
      <c r="C40" s="22"/>
      <c r="D40" s="56" t="s">
        <v>61</v>
      </c>
      <c r="E40" s="57"/>
      <c r="F40" s="29">
        <v>-1.8E-3</v>
      </c>
      <c r="G40" s="26">
        <f>$F$16</f>
        <v>100</v>
      </c>
      <c r="H40" s="27">
        <f t="shared" ref="H40:H46" si="7">G40*F40</f>
        <v>-0.18</v>
      </c>
      <c r="I40" s="28"/>
      <c r="J40" s="29">
        <f>'[4]6. Rate Rider Calculations'!$F$20</f>
        <v>-1.0353326935341441E-3</v>
      </c>
      <c r="K40" s="26">
        <f>$F$16</f>
        <v>100</v>
      </c>
      <c r="L40" s="27">
        <f t="shared" ref="L40:L46" si="8">K40*J40</f>
        <v>-0.10353326935341441</v>
      </c>
      <c r="M40" s="28"/>
      <c r="N40" s="31">
        <f t="shared" ref="N40:N46" si="9">L40-H40</f>
        <v>7.6466730646585587E-2</v>
      </c>
      <c r="O40" s="32">
        <f t="shared" ref="O40:O45" si="10">IF((H40)=0,"",(N40/H40))</f>
        <v>-0.42481517025880883</v>
      </c>
    </row>
    <row r="41" spans="2:15" hidden="1" x14ac:dyDescent="0.25">
      <c r="B41" s="46"/>
      <c r="C41" s="22"/>
      <c r="D41" s="23" t="s">
        <v>61</v>
      </c>
      <c r="E41" s="24"/>
      <c r="F41" s="25"/>
      <c r="G41" s="26">
        <f>$F$16</f>
        <v>100</v>
      </c>
      <c r="H41" s="27">
        <f t="shared" si="7"/>
        <v>0</v>
      </c>
      <c r="I41" s="47"/>
      <c r="J41" s="29"/>
      <c r="K41" s="26">
        <f>$F$16</f>
        <v>100</v>
      </c>
      <c r="L41" s="27">
        <f t="shared" si="8"/>
        <v>0</v>
      </c>
      <c r="M41" s="48"/>
      <c r="N41" s="31">
        <f t="shared" si="9"/>
        <v>0</v>
      </c>
      <c r="O41" s="32" t="str">
        <f t="shared" si="10"/>
        <v/>
      </c>
    </row>
    <row r="42" spans="2:15" hidden="1" x14ac:dyDescent="0.25">
      <c r="B42" s="46"/>
      <c r="C42" s="22"/>
      <c r="D42" s="23" t="s">
        <v>61</v>
      </c>
      <c r="E42" s="24"/>
      <c r="F42" s="25"/>
      <c r="G42" s="26">
        <f>$F$16</f>
        <v>100</v>
      </c>
      <c r="H42" s="27">
        <f t="shared" si="7"/>
        <v>0</v>
      </c>
      <c r="I42" s="47"/>
      <c r="J42" s="29"/>
      <c r="K42" s="26">
        <f>$F$16</f>
        <v>100</v>
      </c>
      <c r="L42" s="27">
        <f t="shared" si="8"/>
        <v>0</v>
      </c>
      <c r="M42" s="48"/>
      <c r="N42" s="31">
        <f t="shared" si="9"/>
        <v>0</v>
      </c>
      <c r="O42" s="32" t="str">
        <f t="shared" si="10"/>
        <v/>
      </c>
    </row>
    <row r="43" spans="2:15" hidden="1" x14ac:dyDescent="0.25">
      <c r="B43" s="46"/>
      <c r="C43" s="22"/>
      <c r="D43" s="23"/>
      <c r="E43" s="24"/>
      <c r="F43" s="25"/>
      <c r="G43" s="26">
        <f>$F$16</f>
        <v>100</v>
      </c>
      <c r="H43" s="27">
        <f t="shared" si="7"/>
        <v>0</v>
      </c>
      <c r="I43" s="47"/>
      <c r="J43" s="29"/>
      <c r="K43" s="26">
        <f>$F$16</f>
        <v>100</v>
      </c>
      <c r="L43" s="27">
        <f t="shared" si="8"/>
        <v>0</v>
      </c>
      <c r="M43" s="48"/>
      <c r="N43" s="31">
        <f t="shared" si="9"/>
        <v>0</v>
      </c>
      <c r="O43" s="32" t="str">
        <f t="shared" si="10"/>
        <v/>
      </c>
    </row>
    <row r="44" spans="2:15" x14ac:dyDescent="0.25">
      <c r="B44" s="49" t="s">
        <v>24</v>
      </c>
      <c r="C44" s="22"/>
      <c r="D44" s="23" t="s">
        <v>61</v>
      </c>
      <c r="E44" s="24"/>
      <c r="F44" s="195">
        <v>4.0000000000000003E-5</v>
      </c>
      <c r="G44" s="26">
        <f>$F$16</f>
        <v>100</v>
      </c>
      <c r="H44" s="27">
        <f t="shared" si="7"/>
        <v>4.0000000000000001E-3</v>
      </c>
      <c r="I44" s="28"/>
      <c r="J44" s="195">
        <f>'[2]Rate Schedule '!$E$12</f>
        <v>6.9999999999999994E-5</v>
      </c>
      <c r="K44" s="26">
        <f>$F$16</f>
        <v>100</v>
      </c>
      <c r="L44" s="27">
        <f t="shared" si="8"/>
        <v>6.9999999999999993E-3</v>
      </c>
      <c r="M44" s="28"/>
      <c r="N44" s="31">
        <f t="shared" si="9"/>
        <v>2.9999999999999992E-3</v>
      </c>
      <c r="O44" s="32">
        <f t="shared" si="10"/>
        <v>0.74999999999999978</v>
      </c>
    </row>
    <row r="45" spans="2:15" s="34" customFormat="1" x14ac:dyDescent="0.25">
      <c r="B45" s="180" t="s">
        <v>25</v>
      </c>
      <c r="C45" s="24"/>
      <c r="D45" s="181" t="s">
        <v>61</v>
      </c>
      <c r="E45" s="24"/>
      <c r="F45" s="182">
        <f>IF(ISBLANK(D14)=TRUE, 0, IF(D14="TOU", 0.64*$F$55+0.18*$F$56+0.18*$F$57, IF(AND(D14="non-TOU", G59&gt;0), F59,F58)))</f>
        <v>9.2460000000000001E-2</v>
      </c>
      <c r="G45" s="26">
        <f>$F$16*(1+$F$74)-$F$16</f>
        <v>4.8000000000000114</v>
      </c>
      <c r="H45" s="183">
        <f t="shared" si="7"/>
        <v>0.44380800000000104</v>
      </c>
      <c r="I45" s="57"/>
      <c r="J45" s="184">
        <f>0.64*$F$55+0.18*$F$56+0.18*$F$57</f>
        <v>9.2460000000000001E-2</v>
      </c>
      <c r="K45" s="26">
        <f>$F$16*(1+$J$74)-$F$16</f>
        <v>4.7099999999999937</v>
      </c>
      <c r="L45" s="183">
        <f t="shared" si="8"/>
        <v>0.43548659999999945</v>
      </c>
      <c r="M45" s="57"/>
      <c r="N45" s="185">
        <f t="shared" si="9"/>
        <v>-8.3214000000015886E-3</v>
      </c>
      <c r="O45" s="186">
        <f t="shared" si="10"/>
        <v>-1.8750000000003535E-2</v>
      </c>
    </row>
    <row r="46" spans="2:15" x14ac:dyDescent="0.25">
      <c r="B46" s="49" t="s">
        <v>26</v>
      </c>
      <c r="C46" s="22"/>
      <c r="D46" s="23" t="s">
        <v>60</v>
      </c>
      <c r="E46" s="24"/>
      <c r="F46" s="177">
        <v>0.79</v>
      </c>
      <c r="G46" s="26">
        <v>1</v>
      </c>
      <c r="H46" s="27">
        <f t="shared" si="7"/>
        <v>0.79</v>
      </c>
      <c r="I46" s="28"/>
      <c r="J46" s="177">
        <v>0.79</v>
      </c>
      <c r="K46" s="26">
        <v>1</v>
      </c>
      <c r="L46" s="27">
        <f t="shared" si="8"/>
        <v>0.79</v>
      </c>
      <c r="M46" s="28"/>
      <c r="N46" s="31">
        <f t="shared" si="9"/>
        <v>0</v>
      </c>
      <c r="O46" s="32"/>
    </row>
    <row r="47" spans="2:15" ht="25.5" x14ac:dyDescent="0.25">
      <c r="B47" s="50" t="s">
        <v>27</v>
      </c>
      <c r="C47" s="51"/>
      <c r="D47" s="51"/>
      <c r="E47" s="51"/>
      <c r="F47" s="52"/>
      <c r="G47" s="53"/>
      <c r="H47" s="54">
        <f>SUM(H39:H46)+H38</f>
        <v>19.687808</v>
      </c>
      <c r="I47" s="41"/>
      <c r="J47" s="53"/>
      <c r="K47" s="55"/>
      <c r="L47" s="54">
        <f>SUM(L39:L46)+L38</f>
        <v>19.519429373011363</v>
      </c>
      <c r="M47" s="41"/>
      <c r="N47" s="44">
        <f t="shared" ref="N47:N65" si="11">L47-H47</f>
        <v>-0.16837862698863759</v>
      </c>
      <c r="O47" s="45">
        <f t="shared" ref="O47:O65" si="12">IF((H47)=0,"",(N47/H47))</f>
        <v>-8.5524313823376174E-3</v>
      </c>
    </row>
    <row r="48" spans="2:15" x14ac:dyDescent="0.25">
      <c r="B48" s="28" t="s">
        <v>28</v>
      </c>
      <c r="C48" s="28"/>
      <c r="D48" s="56" t="s">
        <v>61</v>
      </c>
      <c r="E48" s="57"/>
      <c r="F48" s="29">
        <v>7.3000000000000001E-3</v>
      </c>
      <c r="G48" s="58">
        <f>F16*(1+F74)</f>
        <v>104.80000000000001</v>
      </c>
      <c r="H48" s="27">
        <f>G48*F48</f>
        <v>0.76504000000000005</v>
      </c>
      <c r="I48" s="28"/>
      <c r="J48" s="29">
        <f>'[5]13. Final 2015 RTS Rates'!$F$26</f>
        <v>7.5166324038951132E-3</v>
      </c>
      <c r="K48" s="59">
        <f>F16*(1+J74)</f>
        <v>104.71</v>
      </c>
      <c r="L48" s="27">
        <f>K48*J48</f>
        <v>0.78706657901185728</v>
      </c>
      <c r="M48" s="28"/>
      <c r="N48" s="31">
        <f t="shared" si="11"/>
        <v>2.2026579011857228E-2</v>
      </c>
      <c r="O48" s="32">
        <f t="shared" si="12"/>
        <v>2.8791408307875702E-2</v>
      </c>
    </row>
    <row r="49" spans="2:19" x14ac:dyDescent="0.25">
      <c r="B49" s="60" t="s">
        <v>29</v>
      </c>
      <c r="C49" s="28"/>
      <c r="D49" s="56" t="s">
        <v>61</v>
      </c>
      <c r="E49" s="57"/>
      <c r="F49" s="29">
        <v>5.7000000000000002E-3</v>
      </c>
      <c r="G49" s="58">
        <f>G48</f>
        <v>104.80000000000001</v>
      </c>
      <c r="H49" s="27">
        <f>G49*F49</f>
        <v>0.59736000000000011</v>
      </c>
      <c r="I49" s="28"/>
      <c r="J49" s="29">
        <f>'[5]13. Final 2015 RTS Rates'!$H$26</f>
        <v>5.857883813739073E-3</v>
      </c>
      <c r="K49" s="59">
        <f>K48</f>
        <v>104.71</v>
      </c>
      <c r="L49" s="27">
        <f>K49*J49</f>
        <v>0.61337901413661833</v>
      </c>
      <c r="M49" s="28"/>
      <c r="N49" s="31">
        <f t="shared" si="11"/>
        <v>1.6019014136618215E-2</v>
      </c>
      <c r="O49" s="32">
        <f t="shared" si="12"/>
        <v>2.681634882921222E-2</v>
      </c>
    </row>
    <row r="50" spans="2:19" x14ac:dyDescent="0.25">
      <c r="B50" s="50" t="s">
        <v>30</v>
      </c>
      <c r="C50" s="36"/>
      <c r="D50" s="36"/>
      <c r="E50" s="36"/>
      <c r="F50" s="61"/>
      <c r="G50" s="53"/>
      <c r="H50" s="54">
        <f>SUM(H47:H49)</f>
        <v>21.050207999999998</v>
      </c>
      <c r="I50" s="62"/>
      <c r="J50" s="63"/>
      <c r="K50" s="64"/>
      <c r="L50" s="54">
        <f>SUM(L47:L49)</f>
        <v>20.919874966159838</v>
      </c>
      <c r="M50" s="62"/>
      <c r="N50" s="44">
        <f t="shared" si="11"/>
        <v>-0.13033303384015937</v>
      </c>
      <c r="O50" s="45">
        <f t="shared" si="12"/>
        <v>-6.1915318765572002E-3</v>
      </c>
    </row>
    <row r="51" spans="2:19" x14ac:dyDescent="0.25">
      <c r="B51" s="65" t="s">
        <v>31</v>
      </c>
      <c r="C51" s="22"/>
      <c r="D51" s="23" t="s">
        <v>61</v>
      </c>
      <c r="E51" s="24"/>
      <c r="F51" s="66">
        <v>4.4000000000000003E-3</v>
      </c>
      <c r="G51" s="58">
        <f>G49</f>
        <v>104.80000000000001</v>
      </c>
      <c r="H51" s="67">
        <f t="shared" ref="H51:H57" si="13">G51*F51</f>
        <v>0.46112000000000009</v>
      </c>
      <c r="I51" s="28"/>
      <c r="J51" s="66">
        <v>4.4000000000000003E-3</v>
      </c>
      <c r="K51" s="59">
        <f>K49</f>
        <v>104.71</v>
      </c>
      <c r="L51" s="67">
        <f t="shared" ref="L51:L57" si="14">K51*J51</f>
        <v>0.46072400000000002</v>
      </c>
      <c r="M51" s="28"/>
      <c r="N51" s="31">
        <f t="shared" si="11"/>
        <v>-3.9600000000006297E-4</v>
      </c>
      <c r="O51" s="68">
        <f t="shared" si="12"/>
        <v>-8.5877862595433484E-4</v>
      </c>
    </row>
    <row r="52" spans="2:19" x14ac:dyDescent="0.25">
      <c r="B52" s="65" t="s">
        <v>32</v>
      </c>
      <c r="C52" s="22"/>
      <c r="D52" s="23" t="s">
        <v>61</v>
      </c>
      <c r="E52" s="24"/>
      <c r="F52" s="66">
        <v>1.2999999999999999E-3</v>
      </c>
      <c r="G52" s="58">
        <f>G49</f>
        <v>104.80000000000001</v>
      </c>
      <c r="H52" s="67">
        <f t="shared" si="13"/>
        <v>0.13624</v>
      </c>
      <c r="I52" s="28"/>
      <c r="J52" s="66">
        <v>1.2999999999999999E-3</v>
      </c>
      <c r="K52" s="59">
        <f>K49</f>
        <v>104.71</v>
      </c>
      <c r="L52" s="67">
        <f t="shared" si="14"/>
        <v>0.13612299999999999</v>
      </c>
      <c r="M52" s="28"/>
      <c r="N52" s="31">
        <f t="shared" si="11"/>
        <v>-1.1700000000000599E-4</v>
      </c>
      <c r="O52" s="68">
        <f t="shared" si="12"/>
        <v>-8.5877862595424247E-4</v>
      </c>
    </row>
    <row r="53" spans="2:19" x14ac:dyDescent="0.25">
      <c r="B53" s="22" t="s">
        <v>33</v>
      </c>
      <c r="C53" s="22"/>
      <c r="D53" s="23" t="s">
        <v>60</v>
      </c>
      <c r="E53" s="24"/>
      <c r="F53" s="176">
        <v>0.25</v>
      </c>
      <c r="G53" s="26">
        <v>1</v>
      </c>
      <c r="H53" s="67">
        <f t="shared" si="13"/>
        <v>0.25</v>
      </c>
      <c r="I53" s="28"/>
      <c r="J53" s="176">
        <v>0.25</v>
      </c>
      <c r="K53" s="30">
        <v>1</v>
      </c>
      <c r="L53" s="67">
        <f t="shared" si="14"/>
        <v>0.25</v>
      </c>
      <c r="M53" s="28"/>
      <c r="N53" s="31">
        <f t="shared" si="11"/>
        <v>0</v>
      </c>
      <c r="O53" s="68">
        <f t="shared" si="12"/>
        <v>0</v>
      </c>
    </row>
    <row r="54" spans="2:19" x14ac:dyDescent="0.25">
      <c r="B54" s="22" t="s">
        <v>34</v>
      </c>
      <c r="C54" s="22"/>
      <c r="D54" s="23" t="s">
        <v>61</v>
      </c>
      <c r="E54" s="24"/>
      <c r="F54" s="66">
        <v>7.0000000000000001E-3</v>
      </c>
      <c r="G54" s="69">
        <f>F16</f>
        <v>100</v>
      </c>
      <c r="H54" s="67">
        <f t="shared" si="13"/>
        <v>0.70000000000000007</v>
      </c>
      <c r="I54" s="28"/>
      <c r="J54" s="66">
        <v>7.0000000000000001E-3</v>
      </c>
      <c r="K54" s="70">
        <f>F16</f>
        <v>100</v>
      </c>
      <c r="L54" s="67">
        <f t="shared" si="14"/>
        <v>0.70000000000000007</v>
      </c>
      <c r="M54" s="28"/>
      <c r="N54" s="31">
        <f t="shared" si="11"/>
        <v>0</v>
      </c>
      <c r="O54" s="68">
        <f t="shared" si="12"/>
        <v>0</v>
      </c>
    </row>
    <row r="55" spans="2:19" x14ac:dyDescent="0.25">
      <c r="B55" s="49" t="s">
        <v>35</v>
      </c>
      <c r="C55" s="22"/>
      <c r="D55" s="23" t="s">
        <v>61</v>
      </c>
      <c r="E55" s="24"/>
      <c r="F55" s="66">
        <v>7.4999999999999997E-2</v>
      </c>
      <c r="G55" s="69">
        <f>0.64*$F$16</f>
        <v>64</v>
      </c>
      <c r="H55" s="67">
        <f t="shared" si="13"/>
        <v>4.8</v>
      </c>
      <c r="I55" s="28"/>
      <c r="J55" s="66">
        <v>7.4999999999999997E-2</v>
      </c>
      <c r="K55" s="69">
        <f>G55</f>
        <v>64</v>
      </c>
      <c r="L55" s="67">
        <f t="shared" si="14"/>
        <v>4.8</v>
      </c>
      <c r="M55" s="28"/>
      <c r="N55" s="31">
        <f t="shared" si="11"/>
        <v>0</v>
      </c>
      <c r="O55" s="68">
        <f t="shared" si="12"/>
        <v>0</v>
      </c>
      <c r="S55" s="72"/>
    </row>
    <row r="56" spans="2:19" x14ac:dyDescent="0.25">
      <c r="B56" s="49" t="s">
        <v>36</v>
      </c>
      <c r="C56" s="22"/>
      <c r="D56" s="23" t="s">
        <v>61</v>
      </c>
      <c r="E56" s="24"/>
      <c r="F56" s="66">
        <v>0.112</v>
      </c>
      <c r="G56" s="69">
        <f>0.18*$F$16</f>
        <v>18</v>
      </c>
      <c r="H56" s="67">
        <f t="shared" si="13"/>
        <v>2.016</v>
      </c>
      <c r="I56" s="28"/>
      <c r="J56" s="66">
        <v>0.112</v>
      </c>
      <c r="K56" s="69">
        <f>G56</f>
        <v>18</v>
      </c>
      <c r="L56" s="67">
        <f t="shared" si="14"/>
        <v>2.016</v>
      </c>
      <c r="M56" s="28"/>
      <c r="N56" s="31">
        <f t="shared" si="11"/>
        <v>0</v>
      </c>
      <c r="O56" s="68">
        <f t="shared" si="12"/>
        <v>0</v>
      </c>
      <c r="S56" s="72"/>
    </row>
    <row r="57" spans="2:19" x14ac:dyDescent="0.25">
      <c r="B57" s="12" t="s">
        <v>37</v>
      </c>
      <c r="C57" s="22"/>
      <c r="D57" s="23" t="s">
        <v>61</v>
      </c>
      <c r="E57" s="24"/>
      <c r="F57" s="66">
        <v>0.13500000000000001</v>
      </c>
      <c r="G57" s="69">
        <f>0.18*$F$16</f>
        <v>18</v>
      </c>
      <c r="H57" s="67">
        <f t="shared" si="13"/>
        <v>2.4300000000000002</v>
      </c>
      <c r="I57" s="28"/>
      <c r="J57" s="66">
        <v>0.13500000000000001</v>
      </c>
      <c r="K57" s="69">
        <f>G57</f>
        <v>18</v>
      </c>
      <c r="L57" s="67">
        <f t="shared" si="14"/>
        <v>2.4300000000000002</v>
      </c>
      <c r="M57" s="28"/>
      <c r="N57" s="31">
        <f t="shared" si="11"/>
        <v>0</v>
      </c>
      <c r="O57" s="68">
        <f t="shared" si="12"/>
        <v>0</v>
      </c>
      <c r="S57" s="72"/>
    </row>
    <row r="58" spans="2:19" s="73" customFormat="1" x14ac:dyDescent="0.2">
      <c r="B58" s="74" t="s">
        <v>38</v>
      </c>
      <c r="C58" s="75"/>
      <c r="D58" s="76" t="s">
        <v>61</v>
      </c>
      <c r="E58" s="77"/>
      <c r="F58" s="66">
        <v>8.5999999999999993E-2</v>
      </c>
      <c r="G58" s="78">
        <f>IF(AND($T$1=1, F16&gt;=600), 600, IF(AND($T$1=1, AND(F16&lt;600, F16&gt;=0)), F16, IF(AND($T$1=2, F16&gt;=1000), 1000, IF(AND($T$1=2, AND(F16&lt;1000, F16&gt;=0)), F16))))</f>
        <v>100</v>
      </c>
      <c r="H58" s="67">
        <f>G58*F58</f>
        <v>8.6</v>
      </c>
      <c r="I58" s="79"/>
      <c r="J58" s="66">
        <v>8.5999999999999993E-2</v>
      </c>
      <c r="K58" s="78">
        <f>G58</f>
        <v>100</v>
      </c>
      <c r="L58" s="67">
        <f>K58*J58</f>
        <v>8.6</v>
      </c>
      <c r="M58" s="79"/>
      <c r="N58" s="80">
        <f t="shared" si="11"/>
        <v>0</v>
      </c>
      <c r="O58" s="68">
        <f t="shared" si="12"/>
        <v>0</v>
      </c>
    </row>
    <row r="59" spans="2:19" s="73" customFormat="1" ht="15.75" thickBot="1" x14ac:dyDescent="0.25">
      <c r="B59" s="74" t="s">
        <v>39</v>
      </c>
      <c r="C59" s="75"/>
      <c r="D59" s="76" t="s">
        <v>61</v>
      </c>
      <c r="E59" s="77"/>
      <c r="F59" s="66">
        <v>0.10100000000000001</v>
      </c>
      <c r="G59" s="78">
        <f>IF(AND($T$1=1, F16&gt;=600), F16-600, IF(AND($T$1=1, AND(F16&lt;600, F16&gt;=0)), 0, IF(AND($T$1=2, F16&gt;=1000), F16-1000, IF(AND($T$1=2, AND(F16&lt;1000, F16&gt;=0)), 0))))</f>
        <v>0</v>
      </c>
      <c r="H59" s="67">
        <f>G59*F59</f>
        <v>0</v>
      </c>
      <c r="I59" s="79"/>
      <c r="J59" s="66">
        <v>0.10100000000000001</v>
      </c>
      <c r="K59" s="78">
        <f>G59</f>
        <v>0</v>
      </c>
      <c r="L59" s="67">
        <f>K59*J59</f>
        <v>0</v>
      </c>
      <c r="M59" s="79"/>
      <c r="N59" s="80">
        <f t="shared" si="11"/>
        <v>0</v>
      </c>
      <c r="O59" s="68" t="str">
        <f t="shared" si="12"/>
        <v/>
      </c>
    </row>
    <row r="60" spans="2:19" ht="8.25" customHeight="1" thickBot="1" x14ac:dyDescent="0.3">
      <c r="B60" s="81"/>
      <c r="C60" s="82"/>
      <c r="D60" s="83"/>
      <c r="E60" s="82"/>
      <c r="F60" s="84"/>
      <c r="G60" s="85"/>
      <c r="H60" s="86"/>
      <c r="I60" s="87"/>
      <c r="J60" s="84"/>
      <c r="K60" s="88"/>
      <c r="L60" s="86"/>
      <c r="M60" s="87"/>
      <c r="N60" s="89"/>
      <c r="O60" s="90"/>
    </row>
    <row r="61" spans="2:19" x14ac:dyDescent="0.25">
      <c r="B61" s="91" t="s">
        <v>40</v>
      </c>
      <c r="C61" s="22"/>
      <c r="D61" s="22"/>
      <c r="E61" s="22"/>
      <c r="F61" s="92"/>
      <c r="G61" s="93"/>
      <c r="H61" s="94">
        <f>SUM(H51:H57,H50)</f>
        <v>31.843567999999998</v>
      </c>
      <c r="I61" s="95"/>
      <c r="J61" s="96"/>
      <c r="K61" s="96"/>
      <c r="L61" s="189">
        <f>SUM(L51:L57,L50)</f>
        <v>31.71272196615984</v>
      </c>
      <c r="M61" s="97"/>
      <c r="N61" s="98">
        <f>L61-H61</f>
        <v>-0.13084603384015736</v>
      </c>
      <c r="O61" s="99">
        <f>IF((H61)=0,"",(N61/H61))</f>
        <v>-4.1090255288024685E-3</v>
      </c>
      <c r="S61" s="72"/>
    </row>
    <row r="62" spans="2:19" x14ac:dyDescent="0.25">
      <c r="B62" s="100" t="s">
        <v>41</v>
      </c>
      <c r="C62" s="22"/>
      <c r="D62" s="22"/>
      <c r="E62" s="22"/>
      <c r="F62" s="101">
        <v>0.13</v>
      </c>
      <c r="G62" s="102"/>
      <c r="H62" s="103">
        <f>H61*F62</f>
        <v>4.1396638399999999</v>
      </c>
      <c r="I62" s="104"/>
      <c r="J62" s="105">
        <v>0.13</v>
      </c>
      <c r="K62" s="104"/>
      <c r="L62" s="106">
        <f>L61*J62</f>
        <v>4.1226538556007792</v>
      </c>
      <c r="M62" s="107"/>
      <c r="N62" s="108">
        <f t="shared" si="11"/>
        <v>-1.7009984399220635E-2</v>
      </c>
      <c r="O62" s="109">
        <f t="shared" si="12"/>
        <v>-4.1090255288025119E-3</v>
      </c>
      <c r="S62" s="72"/>
    </row>
    <row r="63" spans="2:19" x14ac:dyDescent="0.25">
      <c r="B63" s="110" t="s">
        <v>42</v>
      </c>
      <c r="C63" s="22"/>
      <c r="D63" s="22"/>
      <c r="E63" s="22"/>
      <c r="F63" s="111"/>
      <c r="G63" s="102"/>
      <c r="H63" s="103">
        <f>H61+H62</f>
        <v>35.983231839999995</v>
      </c>
      <c r="I63" s="104"/>
      <c r="J63" s="104"/>
      <c r="K63" s="104"/>
      <c r="L63" s="106">
        <f>L61+L62</f>
        <v>35.835375821760621</v>
      </c>
      <c r="M63" s="107"/>
      <c r="N63" s="108">
        <f t="shared" si="11"/>
        <v>-0.14785601823937355</v>
      </c>
      <c r="O63" s="109">
        <f t="shared" si="12"/>
        <v>-4.1090255288023505E-3</v>
      </c>
      <c r="S63" s="72"/>
    </row>
    <row r="64" spans="2:19" ht="15.75" customHeight="1" x14ac:dyDescent="0.25">
      <c r="B64" s="240" t="s">
        <v>43</v>
      </c>
      <c r="C64" s="240"/>
      <c r="D64" s="240"/>
      <c r="E64" s="22"/>
      <c r="F64" s="111"/>
      <c r="G64" s="102"/>
      <c r="H64" s="112">
        <f>ROUND(-H63*10%,2)</f>
        <v>-3.6</v>
      </c>
      <c r="I64" s="104"/>
      <c r="J64" s="104"/>
      <c r="K64" s="104"/>
      <c r="L64" s="113">
        <f>ROUND(-L63*10%,2)</f>
        <v>-3.58</v>
      </c>
      <c r="M64" s="107"/>
      <c r="N64" s="114">
        <f t="shared" si="11"/>
        <v>2.0000000000000018E-2</v>
      </c>
      <c r="O64" s="115">
        <f t="shared" si="12"/>
        <v>-5.5555555555555601E-3</v>
      </c>
    </row>
    <row r="65" spans="1:15" ht="15.75" thickBot="1" x14ac:dyDescent="0.3">
      <c r="B65" s="246" t="s">
        <v>44</v>
      </c>
      <c r="C65" s="246"/>
      <c r="D65" s="246"/>
      <c r="E65" s="116"/>
      <c r="F65" s="117"/>
      <c r="G65" s="118"/>
      <c r="H65" s="119">
        <f>H63+H64</f>
        <v>32.383231839999993</v>
      </c>
      <c r="I65" s="120"/>
      <c r="J65" s="120"/>
      <c r="K65" s="120"/>
      <c r="L65" s="121">
        <f>L63+L64</f>
        <v>32.255375821760623</v>
      </c>
      <c r="M65" s="122"/>
      <c r="N65" s="123">
        <f t="shared" si="11"/>
        <v>-0.12785601823937043</v>
      </c>
      <c r="O65" s="124">
        <f t="shared" si="12"/>
        <v>-3.9482167459716543E-3</v>
      </c>
    </row>
    <row r="66" spans="1:15" s="73" customFormat="1" ht="8.25" customHeight="1" thickBot="1" x14ac:dyDescent="0.25">
      <c r="B66" s="125"/>
      <c r="C66" s="126"/>
      <c r="D66" s="127"/>
      <c r="E66" s="126"/>
      <c r="F66" s="84"/>
      <c r="G66" s="128"/>
      <c r="H66" s="86"/>
      <c r="I66" s="129"/>
      <c r="J66" s="84"/>
      <c r="K66" s="130"/>
      <c r="L66" s="86"/>
      <c r="M66" s="129"/>
      <c r="N66" s="131"/>
      <c r="O66" s="90"/>
    </row>
    <row r="67" spans="1:15" s="73" customFormat="1" ht="12.75" x14ac:dyDescent="0.2">
      <c r="B67" s="132" t="s">
        <v>45</v>
      </c>
      <c r="C67" s="75"/>
      <c r="D67" s="75"/>
      <c r="E67" s="75"/>
      <c r="F67" s="133"/>
      <c r="G67" s="134"/>
      <c r="H67" s="135">
        <f>SUM(H58:H59,H50,H51:H54)</f>
        <v>31.197568</v>
      </c>
      <c r="I67" s="136"/>
      <c r="J67" s="137"/>
      <c r="K67" s="137"/>
      <c r="L67" s="188">
        <f>SUM(L58:L59,L50,L51:L54)</f>
        <v>31.066721966159839</v>
      </c>
      <c r="M67" s="138"/>
      <c r="N67" s="139">
        <f>L67-H67</f>
        <v>-0.13084603384016091</v>
      </c>
      <c r="O67" s="99">
        <f>IF((H67)=0,"",(N67/H67))</f>
        <v>-4.1941100614048153E-3</v>
      </c>
    </row>
    <row r="68" spans="1:15" s="73" customFormat="1" ht="12.75" x14ac:dyDescent="0.2">
      <c r="B68" s="140" t="s">
        <v>41</v>
      </c>
      <c r="C68" s="75"/>
      <c r="D68" s="75"/>
      <c r="E68" s="75"/>
      <c r="F68" s="141">
        <v>0.13</v>
      </c>
      <c r="G68" s="134"/>
      <c r="H68" s="142">
        <f>H67*F68</f>
        <v>4.0556838400000004</v>
      </c>
      <c r="I68" s="143"/>
      <c r="J68" s="144">
        <v>0.13</v>
      </c>
      <c r="K68" s="145"/>
      <c r="L68" s="146">
        <f>L67*J68</f>
        <v>4.0386738556007789</v>
      </c>
      <c r="M68" s="147"/>
      <c r="N68" s="148">
        <f>L68-H68</f>
        <v>-1.7009984399221523E-2</v>
      </c>
      <c r="O68" s="109">
        <f>IF((H68)=0,"",(N68/H68))</f>
        <v>-4.1941100614049645E-3</v>
      </c>
    </row>
    <row r="69" spans="1:15" s="73" customFormat="1" ht="12.75" x14ac:dyDescent="0.2">
      <c r="B69" s="149" t="s">
        <v>42</v>
      </c>
      <c r="C69" s="75"/>
      <c r="D69" s="75"/>
      <c r="E69" s="75"/>
      <c r="F69" s="150"/>
      <c r="G69" s="151"/>
      <c r="H69" s="142">
        <f>H67+H68</f>
        <v>35.253251840000004</v>
      </c>
      <c r="I69" s="143"/>
      <c r="J69" s="143"/>
      <c r="K69" s="143"/>
      <c r="L69" s="146">
        <f>L67+L68</f>
        <v>35.105395821760617</v>
      </c>
      <c r="M69" s="147"/>
      <c r="N69" s="148">
        <f>L69-H69</f>
        <v>-0.14785601823938777</v>
      </c>
      <c r="O69" s="109">
        <f>IF((H69)=0,"",(N69/H69))</f>
        <v>-4.1941100614049836E-3</v>
      </c>
    </row>
    <row r="70" spans="1:15" s="73" customFormat="1" ht="15.75" customHeight="1" x14ac:dyDescent="0.2">
      <c r="B70" s="241" t="s">
        <v>43</v>
      </c>
      <c r="C70" s="241"/>
      <c r="D70" s="241"/>
      <c r="E70" s="75"/>
      <c r="F70" s="150"/>
      <c r="G70" s="151"/>
      <c r="H70" s="152">
        <f>ROUND(-H69*10%,2)</f>
        <v>-3.53</v>
      </c>
      <c r="I70" s="143"/>
      <c r="J70" s="143"/>
      <c r="K70" s="143"/>
      <c r="L70" s="153">
        <f>ROUND(-L69*10%,2)</f>
        <v>-3.51</v>
      </c>
      <c r="M70" s="147"/>
      <c r="N70" s="154">
        <f>L70-H70</f>
        <v>2.0000000000000018E-2</v>
      </c>
      <c r="O70" s="115">
        <f>IF((H70)=0,"",(N70/H70))</f>
        <v>-5.6657223796034049E-3</v>
      </c>
    </row>
    <row r="71" spans="1:15" s="73" customFormat="1" ht="13.5" thickBot="1" x14ac:dyDescent="0.25">
      <c r="B71" s="233" t="s">
        <v>46</v>
      </c>
      <c r="C71" s="233"/>
      <c r="D71" s="233"/>
      <c r="E71" s="155"/>
      <c r="F71" s="156"/>
      <c r="G71" s="157"/>
      <c r="H71" s="158">
        <f>SUM(H69:H70)</f>
        <v>31.723251840000003</v>
      </c>
      <c r="I71" s="159"/>
      <c r="J71" s="159"/>
      <c r="K71" s="159"/>
      <c r="L71" s="160">
        <f>SUM(L69:L70)</f>
        <v>31.595395821760619</v>
      </c>
      <c r="M71" s="161"/>
      <c r="N71" s="162">
        <f>L71-H71</f>
        <v>-0.12785601823938464</v>
      </c>
      <c r="O71" s="163">
        <f>IF((H71)=0,"",(N71/H71))</f>
        <v>-4.0303566256146024E-3</v>
      </c>
    </row>
    <row r="72" spans="1:15" s="73" customFormat="1" ht="8.25" customHeight="1" thickBot="1" x14ac:dyDescent="0.25">
      <c r="B72" s="125"/>
      <c r="C72" s="126"/>
      <c r="D72" s="127"/>
      <c r="E72" s="126"/>
      <c r="F72" s="164"/>
      <c r="G72" s="165"/>
      <c r="H72" s="166"/>
      <c r="I72" s="167"/>
      <c r="J72" s="164"/>
      <c r="K72" s="128"/>
      <c r="L72" s="168"/>
      <c r="M72" s="129"/>
      <c r="N72" s="169"/>
      <c r="O72" s="90"/>
    </row>
    <row r="73" spans="1:15" ht="10.5" customHeight="1" x14ac:dyDescent="0.25">
      <c r="L73" s="72"/>
    </row>
    <row r="74" spans="1:15" x14ac:dyDescent="0.25">
      <c r="B74" s="13" t="s">
        <v>47</v>
      </c>
      <c r="F74" s="170">
        <v>4.8000000000000001E-2</v>
      </c>
      <c r="J74" s="170">
        <v>4.7100000000000003E-2</v>
      </c>
    </row>
    <row r="75" spans="1:15" ht="10.5" customHeight="1" x14ac:dyDescent="0.25"/>
    <row r="76" spans="1:15" x14ac:dyDescent="0.25">
      <c r="A76" s="171" t="s">
        <v>48</v>
      </c>
    </row>
    <row r="77" spans="1:15" ht="10.5" customHeight="1" x14ac:dyDescent="0.25"/>
    <row r="78" spans="1:15" x14ac:dyDescent="0.25">
      <c r="A78" s="7" t="s">
        <v>49</v>
      </c>
    </row>
    <row r="79" spans="1:15" x14ac:dyDescent="0.25">
      <c r="A79" s="7" t="s">
        <v>50</v>
      </c>
    </row>
    <row r="81" spans="1:2" x14ac:dyDescent="0.25">
      <c r="A81" s="12" t="s">
        <v>51</v>
      </c>
    </row>
    <row r="82" spans="1:2" x14ac:dyDescent="0.25">
      <c r="A82" s="12" t="s">
        <v>52</v>
      </c>
    </row>
    <row r="84" spans="1:2" x14ac:dyDescent="0.25">
      <c r="A84" s="7" t="s">
        <v>53</v>
      </c>
    </row>
    <row r="85" spans="1:2" x14ac:dyDescent="0.25">
      <c r="A85" s="7" t="s">
        <v>54</v>
      </c>
    </row>
    <row r="86" spans="1:2" x14ac:dyDescent="0.25">
      <c r="A86" s="7" t="s">
        <v>55</v>
      </c>
    </row>
    <row r="87" spans="1:2" x14ac:dyDescent="0.25">
      <c r="A87" s="7" t="s">
        <v>56</v>
      </c>
    </row>
    <row r="88" spans="1:2" x14ac:dyDescent="0.25">
      <c r="A88" s="7" t="s">
        <v>57</v>
      </c>
    </row>
    <row r="90" spans="1:2" x14ac:dyDescent="0.25">
      <c r="A90" s="172"/>
      <c r="B90" s="7" t="s">
        <v>58</v>
      </c>
    </row>
  </sheetData>
  <mergeCells count="17">
    <mergeCell ref="B9:O9"/>
    <mergeCell ref="N1:O1"/>
    <mergeCell ref="N2:O2"/>
    <mergeCell ref="N3:O3"/>
    <mergeCell ref="N5:O5"/>
    <mergeCell ref="B8:O8"/>
    <mergeCell ref="D12:O12"/>
    <mergeCell ref="F18:H18"/>
    <mergeCell ref="J18:L18"/>
    <mergeCell ref="N18:O18"/>
    <mergeCell ref="B65:D65"/>
    <mergeCell ref="B71:D71"/>
    <mergeCell ref="D19:D20"/>
    <mergeCell ref="N19:N20"/>
    <mergeCell ref="O19:O20"/>
    <mergeCell ref="B64:D64"/>
    <mergeCell ref="B70:D70"/>
  </mergeCells>
  <dataValidations count="4">
    <dataValidation type="list" allowBlank="1" showInputMessage="1" showErrorMessage="1" sqref="D14">
      <formula1>"TOU, non-TOU"</formula1>
    </dataValidation>
    <dataValidation type="list" allowBlank="1" showInputMessage="1" showErrorMessage="1" sqref="E72 E66 E48:E49 E51:E60 E39:E46 E21:E24 E26:E37">
      <formula1>#REF!</formula1>
    </dataValidation>
    <dataValidation type="list" allowBlank="1" showInputMessage="1" showErrorMessage="1" prompt="Select Charge Unit - monthly, per kWh, per kW" sqref="D48:D49 D66 D72 D51:D60 D39:D46 D21:D37">
      <formula1>"Monthly, per kWh, per kW"</formula1>
    </dataValidation>
    <dataValidation type="list" allowBlank="1" showInputMessage="1" showErrorMessage="1" sqref="E25">
      <formula1>#REF!</formula1>
    </dataValidation>
  </dataValidations>
  <pageMargins left="0.7" right="0.7" top="0.75" bottom="0.75" header="0.3" footer="0.3"/>
  <pageSetup scale="60" fitToHeight="0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tabColor theme="0" tint="-0.14999847407452621"/>
    <pageSetUpPr fitToPage="1"/>
  </sheetPr>
  <dimension ref="A1:T90"/>
  <sheetViews>
    <sheetView showGridLines="0" topLeftCell="A9" workbookViewId="0">
      <selection activeCell="L1" sqref="L1:O5"/>
    </sheetView>
  </sheetViews>
  <sheetFormatPr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8.5703125" style="7" customWidth="1"/>
    <col min="8" max="8" width="9.7109375" style="7" customWidth="1"/>
    <col min="9" max="9" width="2.85546875" style="7" customWidth="1"/>
    <col min="10" max="10" width="12.140625" style="7" customWidth="1"/>
    <col min="11" max="11" width="8.5703125" style="7" customWidth="1"/>
    <col min="12" max="12" width="9.7109375" style="7" customWidth="1"/>
    <col min="13" max="13" width="2.85546875" style="7" customWidth="1"/>
    <col min="14" max="14" width="12.7109375" style="7" bestFit="1" customWidth="1"/>
    <col min="15" max="15" width="10.85546875" style="7" bestFit="1" customWidth="1"/>
    <col min="16" max="16" width="9.710937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248" t="str">
        <f>'Res (100kWh)'!$N$1:$O$1</f>
        <v>EB-2014-0099</v>
      </c>
      <c r="O1" s="248"/>
      <c r="P1" s="190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94</v>
      </c>
      <c r="N2" s="249">
        <f>'Res (100kWh)'!$N$2:$O$2</f>
        <v>8</v>
      </c>
      <c r="O2" s="249"/>
      <c r="P2" s="191"/>
    </row>
    <row r="3" spans="1:20" s="2" customFormat="1" ht="15" customHeight="1" x14ac:dyDescent="0.25">
      <c r="C3" s="6"/>
      <c r="D3" s="6"/>
      <c r="E3" s="6"/>
      <c r="L3" s="3" t="s">
        <v>95</v>
      </c>
      <c r="N3" s="248" t="str">
        <f>'Res (100kWh)'!$N$3:$O$3</f>
        <v>8-B</v>
      </c>
      <c r="O3" s="248"/>
      <c r="P3" s="190"/>
    </row>
    <row r="4" spans="1:20" s="2" customFormat="1" ht="9" customHeight="1" x14ac:dyDescent="0.25">
      <c r="L4" s="3"/>
      <c r="N4" s="232"/>
      <c r="O4"/>
      <c r="P4" s="192"/>
    </row>
    <row r="5" spans="1:20" s="2" customFormat="1" x14ac:dyDescent="0.25">
      <c r="L5" s="3" t="s">
        <v>75</v>
      </c>
      <c r="N5" s="248">
        <f>'Res (100kWh)'!$N$5:$O$5</f>
        <v>42118</v>
      </c>
      <c r="O5" s="248"/>
      <c r="P5" s="193"/>
    </row>
    <row r="6" spans="1:20" s="2" customFormat="1" ht="15" customHeight="1" x14ac:dyDescent="0.25">
      <c r="N6" s="7"/>
      <c r="O6"/>
      <c r="P6"/>
    </row>
    <row r="7" spans="1:20" ht="7.5" customHeight="1" x14ac:dyDescent="0.25">
      <c r="L7"/>
      <c r="M7"/>
      <c r="N7"/>
      <c r="O7"/>
      <c r="P7"/>
    </row>
    <row r="8" spans="1:20" ht="18.75" customHeight="1" x14ac:dyDescent="0.25">
      <c r="B8" s="247" t="s">
        <v>1</v>
      </c>
      <c r="C8" s="247"/>
      <c r="D8" s="247"/>
      <c r="E8" s="247"/>
      <c r="F8" s="247"/>
      <c r="G8" s="247"/>
      <c r="H8" s="247"/>
      <c r="I8" s="247"/>
      <c r="J8" s="247"/>
      <c r="K8" s="247"/>
      <c r="L8" s="247"/>
      <c r="M8" s="247"/>
      <c r="N8" s="247"/>
      <c r="O8" s="247"/>
      <c r="P8"/>
    </row>
    <row r="9" spans="1:20" ht="18.75" customHeight="1" x14ac:dyDescent="0.25">
      <c r="B9" s="247" t="s">
        <v>2</v>
      </c>
      <c r="C9" s="247"/>
      <c r="D9" s="247"/>
      <c r="E9" s="247"/>
      <c r="F9" s="247"/>
      <c r="G9" s="247"/>
      <c r="H9" s="247"/>
      <c r="I9" s="247"/>
      <c r="J9" s="247"/>
      <c r="K9" s="247"/>
      <c r="L9" s="247"/>
      <c r="M9" s="247"/>
      <c r="N9" s="247"/>
      <c r="O9" s="247"/>
      <c r="P9"/>
    </row>
    <row r="10" spans="1:20" ht="7.5" customHeight="1" x14ac:dyDescent="0.25">
      <c r="L10"/>
      <c r="M10"/>
      <c r="N10"/>
      <c r="O10"/>
      <c r="P10"/>
    </row>
    <row r="11" spans="1:20" ht="7.5" customHeight="1" x14ac:dyDescent="0.25">
      <c r="L11"/>
      <c r="M11"/>
      <c r="N11"/>
      <c r="O11"/>
      <c r="P11"/>
    </row>
    <row r="12" spans="1:20" ht="15.75" x14ac:dyDescent="0.25">
      <c r="B12" s="8" t="s">
        <v>3</v>
      </c>
      <c r="D12" s="242" t="s">
        <v>67</v>
      </c>
      <c r="E12" s="242"/>
      <c r="F12" s="242"/>
      <c r="G12" s="242"/>
      <c r="H12" s="242"/>
      <c r="I12" s="242"/>
      <c r="J12" s="242"/>
      <c r="K12" s="242"/>
      <c r="L12" s="242"/>
      <c r="M12" s="242"/>
      <c r="N12" s="242"/>
      <c r="O12" s="242"/>
    </row>
    <row r="13" spans="1:20" ht="7.5" customHeight="1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5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x14ac:dyDescent="0.25">
      <c r="B16" s="12"/>
      <c r="D16" s="13" t="s">
        <v>6</v>
      </c>
      <c r="E16" s="13"/>
      <c r="F16" s="14">
        <v>5000</v>
      </c>
      <c r="G16" s="13" t="s">
        <v>7</v>
      </c>
    </row>
    <row r="17" spans="2:15" x14ac:dyDescent="0.25">
      <c r="B17" s="12"/>
    </row>
    <row r="18" spans="2:15" x14ac:dyDescent="0.25">
      <c r="B18" s="12"/>
      <c r="D18" s="15"/>
      <c r="E18" s="15"/>
      <c r="F18" s="243" t="s">
        <v>8</v>
      </c>
      <c r="G18" s="244"/>
      <c r="H18" s="245"/>
      <c r="J18" s="243" t="s">
        <v>9</v>
      </c>
      <c r="K18" s="244"/>
      <c r="L18" s="245"/>
      <c r="N18" s="243" t="s">
        <v>10</v>
      </c>
      <c r="O18" s="245"/>
    </row>
    <row r="19" spans="2:15" x14ac:dyDescent="0.25">
      <c r="B19" s="12"/>
      <c r="D19" s="234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236" t="s">
        <v>15</v>
      </c>
      <c r="O19" s="238" t="s">
        <v>16</v>
      </c>
    </row>
    <row r="20" spans="2:15" x14ac:dyDescent="0.25">
      <c r="B20" s="12"/>
      <c r="D20" s="235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237"/>
      <c r="O20" s="239"/>
    </row>
    <row r="21" spans="2:15" ht="22.5" customHeight="1" x14ac:dyDescent="0.25">
      <c r="B21" s="22" t="s">
        <v>18</v>
      </c>
      <c r="C21" s="22"/>
      <c r="D21" s="23" t="s">
        <v>60</v>
      </c>
      <c r="E21" s="24"/>
      <c r="F21" s="174">
        <f>'[2]2014 Existing Rates'!$C$7</f>
        <v>21.69</v>
      </c>
      <c r="G21" s="26">
        <v>1</v>
      </c>
      <c r="H21" s="27">
        <f>G21*F21</f>
        <v>21.69</v>
      </c>
      <c r="I21" s="28"/>
      <c r="J21" s="173">
        <f>'[2]Rate Schedule '!$E$16</f>
        <v>24.79</v>
      </c>
      <c r="K21" s="30">
        <v>1</v>
      </c>
      <c r="L21" s="27">
        <f>K21*J21</f>
        <v>24.79</v>
      </c>
      <c r="M21" s="28"/>
      <c r="N21" s="31">
        <f>L21-H21</f>
        <v>3.0999999999999979</v>
      </c>
      <c r="O21" s="32">
        <f>IF((H21)=0,"",(N21/H21))</f>
        <v>0.14292300599354529</v>
      </c>
    </row>
    <row r="22" spans="2:15" ht="36.75" customHeight="1" x14ac:dyDescent="0.25">
      <c r="B22" s="65" t="s">
        <v>80</v>
      </c>
      <c r="C22" s="22"/>
      <c r="D22" s="56" t="s">
        <v>60</v>
      </c>
      <c r="E22" s="24"/>
      <c r="F22" s="173">
        <v>7.85</v>
      </c>
      <c r="G22" s="26">
        <v>1</v>
      </c>
      <c r="H22" s="27">
        <f t="shared" ref="H22:H37" si="0">G22*F22</f>
        <v>7.85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-7.85</v>
      </c>
      <c r="O22" s="32">
        <f>IF((H22)=0,"",(N22/H22))</f>
        <v>-1</v>
      </c>
    </row>
    <row r="23" spans="2:15" ht="36.75" customHeight="1" x14ac:dyDescent="0.25">
      <c r="B23" s="175" t="s">
        <v>63</v>
      </c>
      <c r="C23" s="22"/>
      <c r="D23" s="56" t="s">
        <v>60</v>
      </c>
      <c r="E23" s="57"/>
      <c r="F23" s="173">
        <v>3.2</v>
      </c>
      <c r="G23" s="26">
        <v>1</v>
      </c>
      <c r="H23" s="27">
        <f t="shared" si="0"/>
        <v>3.2</v>
      </c>
      <c r="I23" s="28"/>
      <c r="J23" s="29"/>
      <c r="K23" s="30">
        <v>1</v>
      </c>
      <c r="L23" s="27">
        <f t="shared" ref="L23:L37" si="1">K23*J23</f>
        <v>0</v>
      </c>
      <c r="M23" s="28"/>
      <c r="N23" s="31">
        <f t="shared" ref="N23:N38" si="2">L23-H23</f>
        <v>-3.2</v>
      </c>
      <c r="O23" s="32">
        <f t="shared" ref="O23:O38" si="3">IF((H23)=0,"",(N23/H23))</f>
        <v>-1</v>
      </c>
    </row>
    <row r="24" spans="2:15" x14ac:dyDescent="0.25">
      <c r="B24" s="175" t="s">
        <v>64</v>
      </c>
      <c r="C24" s="22"/>
      <c r="D24" s="23" t="s">
        <v>60</v>
      </c>
      <c r="E24" s="24"/>
      <c r="F24" s="25"/>
      <c r="G24" s="26">
        <v>1</v>
      </c>
      <c r="H24" s="27">
        <f t="shared" si="0"/>
        <v>0</v>
      </c>
      <c r="I24" s="28"/>
      <c r="J24" s="173">
        <f>'[3]Stranded Meter Calc'!$B$108</f>
        <v>1.92</v>
      </c>
      <c r="K24" s="30">
        <v>1</v>
      </c>
      <c r="L24" s="27">
        <f t="shared" si="1"/>
        <v>1.92</v>
      </c>
      <c r="M24" s="28"/>
      <c r="N24" s="31">
        <f t="shared" si="2"/>
        <v>1.92</v>
      </c>
      <c r="O24" s="32" t="str">
        <f t="shared" si="3"/>
        <v/>
      </c>
    </row>
    <row r="25" spans="2:15" x14ac:dyDescent="0.25">
      <c r="B25" s="175" t="s">
        <v>88</v>
      </c>
      <c r="C25" s="22"/>
      <c r="D25" s="23" t="s">
        <v>61</v>
      </c>
      <c r="E25" s="24"/>
      <c r="F25" s="25">
        <v>0</v>
      </c>
      <c r="G25" s="26">
        <f t="shared" ref="G25" si="4">$F$16</f>
        <v>5000</v>
      </c>
      <c r="H25" s="27">
        <f t="shared" si="0"/>
        <v>0</v>
      </c>
      <c r="I25" s="28"/>
      <c r="J25" s="29">
        <f>'[4]6. Rate Rider Calculations'!$F$104</f>
        <v>9.0291109723667786E-4</v>
      </c>
      <c r="K25" s="26">
        <f>$F$16</f>
        <v>5000</v>
      </c>
      <c r="L25" s="27">
        <f t="shared" si="1"/>
        <v>4.5145554861833892</v>
      </c>
      <c r="M25" s="28"/>
      <c r="N25" s="31">
        <f t="shared" si="2"/>
        <v>4.5145554861833892</v>
      </c>
      <c r="O25" s="32" t="str">
        <f t="shared" si="3"/>
        <v/>
      </c>
    </row>
    <row r="26" spans="2:15" x14ac:dyDescent="0.25">
      <c r="B26" s="46" t="s">
        <v>65</v>
      </c>
      <c r="C26" s="22"/>
      <c r="D26" s="23" t="s">
        <v>61</v>
      </c>
      <c r="E26" s="24"/>
      <c r="F26" s="25">
        <v>-2.0000000000000001E-4</v>
      </c>
      <c r="G26" s="26">
        <f>$F$16</f>
        <v>5000</v>
      </c>
      <c r="H26" s="27">
        <f t="shared" si="0"/>
        <v>-1</v>
      </c>
      <c r="I26" s="28"/>
      <c r="J26" s="173"/>
      <c r="K26" s="26">
        <f>$F$16</f>
        <v>5000</v>
      </c>
      <c r="L26" s="27">
        <f t="shared" si="1"/>
        <v>0</v>
      </c>
      <c r="M26" s="28"/>
      <c r="N26" s="31">
        <f t="shared" si="2"/>
        <v>1</v>
      </c>
      <c r="O26" s="32">
        <f t="shared" si="3"/>
        <v>-1</v>
      </c>
    </row>
    <row r="27" spans="2:15" x14ac:dyDescent="0.25">
      <c r="B27" s="46" t="s">
        <v>66</v>
      </c>
      <c r="C27" s="22"/>
      <c r="D27" s="23" t="s">
        <v>61</v>
      </c>
      <c r="E27" s="24"/>
      <c r="F27" s="25"/>
      <c r="G27" s="26">
        <f>$F$16</f>
        <v>5000</v>
      </c>
      <c r="H27" s="27">
        <f t="shared" si="0"/>
        <v>0</v>
      </c>
      <c r="I27" s="28"/>
      <c r="J27" s="29">
        <f>'[4]6. Rate Rider Calculations'!$F$76</f>
        <v>-7.1014119500589033E-3</v>
      </c>
      <c r="K27" s="26">
        <f>$F$16</f>
        <v>5000</v>
      </c>
      <c r="L27" s="27">
        <f t="shared" si="1"/>
        <v>-35.507059750294516</v>
      </c>
      <c r="M27" s="28"/>
      <c r="N27" s="31">
        <f t="shared" si="2"/>
        <v>-35.507059750294516</v>
      </c>
      <c r="O27" s="32" t="str">
        <f t="shared" si="3"/>
        <v/>
      </c>
    </row>
    <row r="28" spans="2:15" x14ac:dyDescent="0.25">
      <c r="B28" s="22" t="s">
        <v>19</v>
      </c>
      <c r="C28" s="22"/>
      <c r="D28" s="23" t="s">
        <v>61</v>
      </c>
      <c r="E28" s="24"/>
      <c r="F28" s="25">
        <f>'[2]2014 Existing Rates'!$E$7</f>
        <v>1.67E-2</v>
      </c>
      <c r="G28" s="26">
        <f>$F$16</f>
        <v>5000</v>
      </c>
      <c r="H28" s="27">
        <f t="shared" si="0"/>
        <v>83.5</v>
      </c>
      <c r="I28" s="28"/>
      <c r="J28" s="29">
        <f>'[2]Rate Schedule '!$E$17</f>
        <v>1.9099999999999999E-2</v>
      </c>
      <c r="K28" s="26">
        <f>$F$16</f>
        <v>5000</v>
      </c>
      <c r="L28" s="27">
        <f t="shared" si="1"/>
        <v>95.5</v>
      </c>
      <c r="M28" s="28"/>
      <c r="N28" s="31">
        <f t="shared" si="2"/>
        <v>12</v>
      </c>
      <c r="O28" s="32">
        <f t="shared" si="3"/>
        <v>0.1437125748502994</v>
      </c>
    </row>
    <row r="29" spans="2:15" hidden="1" x14ac:dyDescent="0.25">
      <c r="B29" s="22" t="s">
        <v>20</v>
      </c>
      <c r="C29" s="22"/>
      <c r="D29" s="23"/>
      <c r="E29" s="24"/>
      <c r="F29" s="25"/>
      <c r="G29" s="26">
        <f>$F$16</f>
        <v>5000</v>
      </c>
      <c r="H29" s="27">
        <f t="shared" si="0"/>
        <v>0</v>
      </c>
      <c r="I29" s="28"/>
      <c r="J29" s="29"/>
      <c r="K29" s="26">
        <f t="shared" ref="K29:K37" si="5">$F$16</f>
        <v>5000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idden="1" x14ac:dyDescent="0.25">
      <c r="B30" s="22" t="s">
        <v>21</v>
      </c>
      <c r="C30" s="22"/>
      <c r="D30" s="23"/>
      <c r="E30" s="24"/>
      <c r="F30" s="25"/>
      <c r="G30" s="26">
        <f>$F$16</f>
        <v>5000</v>
      </c>
      <c r="H30" s="27">
        <f t="shared" si="0"/>
        <v>0</v>
      </c>
      <c r="I30" s="28"/>
      <c r="J30" s="29"/>
      <c r="K30" s="26">
        <f t="shared" si="5"/>
        <v>5000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idden="1" x14ac:dyDescent="0.25">
      <c r="B31" s="33"/>
      <c r="C31" s="22"/>
      <c r="D31" s="23"/>
      <c r="E31" s="24"/>
      <c r="F31" s="25"/>
      <c r="G31" s="26">
        <f t="shared" ref="G31:G37" si="6">$F$16</f>
        <v>5000</v>
      </c>
      <c r="H31" s="27">
        <f t="shared" si="0"/>
        <v>0</v>
      </c>
      <c r="I31" s="28"/>
      <c r="J31" s="29"/>
      <c r="K31" s="26">
        <f t="shared" si="5"/>
        <v>5000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idden="1" x14ac:dyDescent="0.25">
      <c r="B32" s="33"/>
      <c r="C32" s="22"/>
      <c r="D32" s="23"/>
      <c r="E32" s="24"/>
      <c r="F32" s="25"/>
      <c r="G32" s="26">
        <f t="shared" si="6"/>
        <v>5000</v>
      </c>
      <c r="H32" s="27">
        <f t="shared" si="0"/>
        <v>0</v>
      </c>
      <c r="I32" s="28"/>
      <c r="J32" s="29"/>
      <c r="K32" s="26">
        <f t="shared" si="5"/>
        <v>5000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idden="1" x14ac:dyDescent="0.25">
      <c r="B33" s="33"/>
      <c r="C33" s="22"/>
      <c r="D33" s="23"/>
      <c r="E33" s="24"/>
      <c r="F33" s="25"/>
      <c r="G33" s="26">
        <f t="shared" si="6"/>
        <v>5000</v>
      </c>
      <c r="H33" s="27">
        <f t="shared" si="0"/>
        <v>0</v>
      </c>
      <c r="I33" s="28"/>
      <c r="J33" s="29"/>
      <c r="K33" s="26">
        <f t="shared" si="5"/>
        <v>5000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idden="1" x14ac:dyDescent="0.25">
      <c r="B34" s="33"/>
      <c r="C34" s="22"/>
      <c r="D34" s="23"/>
      <c r="E34" s="24"/>
      <c r="F34" s="25"/>
      <c r="G34" s="26">
        <f t="shared" si="6"/>
        <v>5000</v>
      </c>
      <c r="H34" s="27">
        <f t="shared" si="0"/>
        <v>0</v>
      </c>
      <c r="I34" s="28"/>
      <c r="J34" s="29"/>
      <c r="K34" s="26">
        <f t="shared" si="5"/>
        <v>5000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idden="1" x14ac:dyDescent="0.25">
      <c r="B35" s="33"/>
      <c r="C35" s="22"/>
      <c r="D35" s="23"/>
      <c r="E35" s="24"/>
      <c r="F35" s="25"/>
      <c r="G35" s="26">
        <f t="shared" si="6"/>
        <v>5000</v>
      </c>
      <c r="H35" s="27">
        <f t="shared" si="0"/>
        <v>0</v>
      </c>
      <c r="I35" s="28"/>
      <c r="J35" s="29"/>
      <c r="K35" s="26">
        <f t="shared" si="5"/>
        <v>5000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idden="1" x14ac:dyDescent="0.25">
      <c r="B36" s="33"/>
      <c r="C36" s="22"/>
      <c r="D36" s="23"/>
      <c r="E36" s="24"/>
      <c r="F36" s="25"/>
      <c r="G36" s="26">
        <f t="shared" si="6"/>
        <v>5000</v>
      </c>
      <c r="H36" s="27">
        <f t="shared" si="0"/>
        <v>0</v>
      </c>
      <c r="I36" s="28"/>
      <c r="J36" s="29"/>
      <c r="K36" s="26">
        <f t="shared" si="5"/>
        <v>5000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hidden="1" x14ac:dyDescent="0.25">
      <c r="B37" s="33"/>
      <c r="C37" s="22"/>
      <c r="D37" s="23"/>
      <c r="E37" s="24"/>
      <c r="F37" s="25"/>
      <c r="G37" s="26">
        <f t="shared" si="6"/>
        <v>5000</v>
      </c>
      <c r="H37" s="27">
        <f t="shared" si="0"/>
        <v>0</v>
      </c>
      <c r="I37" s="28"/>
      <c r="J37" s="29"/>
      <c r="K37" s="26">
        <f t="shared" si="5"/>
        <v>5000</v>
      </c>
      <c r="L37" s="27">
        <f t="shared" si="1"/>
        <v>0</v>
      </c>
      <c r="M37" s="28"/>
      <c r="N37" s="31">
        <f t="shared" si="2"/>
        <v>0</v>
      </c>
      <c r="O37" s="32" t="str">
        <f t="shared" si="3"/>
        <v/>
      </c>
    </row>
    <row r="38" spans="2:15" s="34" customFormat="1" x14ac:dyDescent="0.25">
      <c r="B38" s="35" t="s">
        <v>22</v>
      </c>
      <c r="C38" s="36"/>
      <c r="D38" s="37"/>
      <c r="E38" s="36"/>
      <c r="F38" s="38"/>
      <c r="G38" s="39"/>
      <c r="H38" s="40">
        <f>SUM(H21:H37)</f>
        <v>115.24000000000001</v>
      </c>
      <c r="I38" s="41"/>
      <c r="J38" s="42"/>
      <c r="K38" s="43"/>
      <c r="L38" s="40">
        <f>SUM(L21:L37)</f>
        <v>91.217495735888875</v>
      </c>
      <c r="M38" s="41"/>
      <c r="N38" s="44">
        <f t="shared" si="2"/>
        <v>-24.022504264111134</v>
      </c>
      <c r="O38" s="45">
        <f t="shared" si="3"/>
        <v>-0.20845630218770508</v>
      </c>
    </row>
    <row r="39" spans="2:15" hidden="1" x14ac:dyDescent="0.25">
      <c r="B39" s="175"/>
      <c r="C39" s="22"/>
      <c r="D39" s="56" t="s">
        <v>60</v>
      </c>
      <c r="E39" s="24"/>
      <c r="F39" s="25"/>
      <c r="G39" s="26">
        <v>1</v>
      </c>
      <c r="H39" s="27">
        <f>G39*F39</f>
        <v>0</v>
      </c>
      <c r="I39" s="28"/>
      <c r="J39" s="173"/>
      <c r="K39" s="30">
        <v>1</v>
      </c>
      <c r="L39" s="27">
        <f>K39*J39</f>
        <v>0</v>
      </c>
      <c r="M39" s="28"/>
      <c r="N39" s="31">
        <f>L39-H39</f>
        <v>0</v>
      </c>
      <c r="O39" s="32" t="str">
        <f>IF((H39)=0,"",(N39/H39))</f>
        <v/>
      </c>
    </row>
    <row r="40" spans="2:15" x14ac:dyDescent="0.25">
      <c r="B40" s="46" t="s">
        <v>23</v>
      </c>
      <c r="C40" s="22"/>
      <c r="D40" s="56" t="s">
        <v>61</v>
      </c>
      <c r="E40" s="57"/>
      <c r="F40" s="29">
        <v>-1.8E-3</v>
      </c>
      <c r="G40" s="26">
        <f>$F$16</f>
        <v>5000</v>
      </c>
      <c r="H40" s="27">
        <f t="shared" ref="H40:H46" si="7">G40*F40</f>
        <v>-9</v>
      </c>
      <c r="I40" s="28"/>
      <c r="J40" s="29">
        <f>'[4]6. Rate Rider Calculations'!$F$21</f>
        <v>1.2383652246340647E-4</v>
      </c>
      <c r="K40" s="26">
        <f>$F$16</f>
        <v>5000</v>
      </c>
      <c r="L40" s="27">
        <f t="shared" ref="L40:L46" si="8">K40*J40</f>
        <v>0.61918261231703231</v>
      </c>
      <c r="M40" s="28"/>
      <c r="N40" s="31">
        <f t="shared" ref="N40:N65" si="9">L40-H40</f>
        <v>9.619182612317033</v>
      </c>
      <c r="O40" s="32">
        <f t="shared" ref="O40:O45" si="10">IF((H40)=0,"",(N40/H40))</f>
        <v>-1.0687980680352258</v>
      </c>
    </row>
    <row r="41" spans="2:15" hidden="1" x14ac:dyDescent="0.25">
      <c r="B41" s="46"/>
      <c r="C41" s="22"/>
      <c r="D41" s="23" t="s">
        <v>61</v>
      </c>
      <c r="E41" s="24"/>
      <c r="F41" s="25"/>
      <c r="G41" s="26">
        <f>$F$16</f>
        <v>5000</v>
      </c>
      <c r="H41" s="27">
        <f t="shared" si="7"/>
        <v>0</v>
      </c>
      <c r="I41" s="47"/>
      <c r="J41" s="29"/>
      <c r="K41" s="26">
        <f>$F$16</f>
        <v>5000</v>
      </c>
      <c r="L41" s="27">
        <f t="shared" si="8"/>
        <v>0</v>
      </c>
      <c r="M41" s="48"/>
      <c r="N41" s="31">
        <f t="shared" si="9"/>
        <v>0</v>
      </c>
      <c r="O41" s="32" t="str">
        <f t="shared" si="10"/>
        <v/>
      </c>
    </row>
    <row r="42" spans="2:15" hidden="1" x14ac:dyDescent="0.25">
      <c r="B42" s="46"/>
      <c r="C42" s="22"/>
      <c r="D42" s="23" t="s">
        <v>61</v>
      </c>
      <c r="E42" s="24"/>
      <c r="F42" s="25"/>
      <c r="G42" s="26">
        <f>$F$16</f>
        <v>5000</v>
      </c>
      <c r="H42" s="27">
        <f t="shared" si="7"/>
        <v>0</v>
      </c>
      <c r="I42" s="47"/>
      <c r="J42" s="29"/>
      <c r="K42" s="26">
        <f>$F$16</f>
        <v>5000</v>
      </c>
      <c r="L42" s="27">
        <f t="shared" si="8"/>
        <v>0</v>
      </c>
      <c r="M42" s="48"/>
      <c r="N42" s="31">
        <f t="shared" si="9"/>
        <v>0</v>
      </c>
      <c r="O42" s="32" t="str">
        <f t="shared" si="10"/>
        <v/>
      </c>
    </row>
    <row r="43" spans="2:15" hidden="1" x14ac:dyDescent="0.25">
      <c r="B43" s="46"/>
      <c r="C43" s="22"/>
      <c r="D43" s="23"/>
      <c r="E43" s="24"/>
      <c r="F43" s="25"/>
      <c r="G43" s="26">
        <f>$F$16</f>
        <v>5000</v>
      </c>
      <c r="H43" s="27">
        <f t="shared" si="7"/>
        <v>0</v>
      </c>
      <c r="I43" s="47"/>
      <c r="J43" s="29"/>
      <c r="K43" s="26">
        <f>$F$16</f>
        <v>5000</v>
      </c>
      <c r="L43" s="27">
        <f t="shared" si="8"/>
        <v>0</v>
      </c>
      <c r="M43" s="48"/>
      <c r="N43" s="31">
        <f t="shared" si="9"/>
        <v>0</v>
      </c>
      <c r="O43" s="32" t="str">
        <f t="shared" si="10"/>
        <v/>
      </c>
    </row>
    <row r="44" spans="2:15" x14ac:dyDescent="0.25">
      <c r="B44" s="49" t="s">
        <v>24</v>
      </c>
      <c r="C44" s="22"/>
      <c r="D44" s="23" t="s">
        <v>61</v>
      </c>
      <c r="E44" s="24"/>
      <c r="F44" s="195">
        <v>4.0000000000000003E-5</v>
      </c>
      <c r="G44" s="26">
        <f>$F$16</f>
        <v>5000</v>
      </c>
      <c r="H44" s="27">
        <f t="shared" si="7"/>
        <v>0.2</v>
      </c>
      <c r="I44" s="28"/>
      <c r="J44" s="196">
        <f>'[2]Rate Schedule '!$E$18</f>
        <v>6.9999999999999994E-5</v>
      </c>
      <c r="K44" s="26">
        <f>$F$16</f>
        <v>5000</v>
      </c>
      <c r="L44" s="27">
        <f t="shared" si="8"/>
        <v>0.35</v>
      </c>
      <c r="M44" s="28"/>
      <c r="N44" s="31">
        <f t="shared" si="9"/>
        <v>0.14999999999999997</v>
      </c>
      <c r="O44" s="32">
        <f t="shared" si="10"/>
        <v>0.74999999999999978</v>
      </c>
    </row>
    <row r="45" spans="2:15" s="34" customFormat="1" x14ac:dyDescent="0.25">
      <c r="B45" s="180" t="s">
        <v>25</v>
      </c>
      <c r="C45" s="24"/>
      <c r="D45" s="181" t="s">
        <v>61</v>
      </c>
      <c r="E45" s="24"/>
      <c r="F45" s="182">
        <f>IF(ISBLANK(D14)=TRUE, 0, IF(D14="TOU", 0.64*$F$55+0.18*$F$56+0.18*$F$57, IF(AND(D14="non-TOU", G59&gt;0), F59,F58)))</f>
        <v>9.2460000000000001E-2</v>
      </c>
      <c r="G45" s="26">
        <f>$F$16*(1+$F$74)-$F$16</f>
        <v>240</v>
      </c>
      <c r="H45" s="183">
        <f t="shared" si="7"/>
        <v>22.1904</v>
      </c>
      <c r="I45" s="57"/>
      <c r="J45" s="184">
        <f>0.64*$F$55+0.18*$F$56+0.18*$F$57</f>
        <v>9.2460000000000001E-2</v>
      </c>
      <c r="K45" s="26">
        <f>$F$16*(1+$J$74)-$F$16</f>
        <v>235.5</v>
      </c>
      <c r="L45" s="183">
        <f t="shared" si="8"/>
        <v>21.774329999999999</v>
      </c>
      <c r="M45" s="57"/>
      <c r="N45" s="185">
        <f t="shared" si="9"/>
        <v>-0.41607000000000127</v>
      </c>
      <c r="O45" s="186">
        <f t="shared" si="10"/>
        <v>-1.8750000000000058E-2</v>
      </c>
    </row>
    <row r="46" spans="2:15" x14ac:dyDescent="0.25">
      <c r="B46" s="49" t="s">
        <v>26</v>
      </c>
      <c r="C46" s="22"/>
      <c r="D46" s="23" t="s">
        <v>60</v>
      </c>
      <c r="E46" s="24"/>
      <c r="F46" s="177">
        <v>0.79</v>
      </c>
      <c r="G46" s="26">
        <v>1</v>
      </c>
      <c r="H46" s="27">
        <f t="shared" si="7"/>
        <v>0.79</v>
      </c>
      <c r="I46" s="28"/>
      <c r="J46" s="177">
        <v>0.79</v>
      </c>
      <c r="K46" s="26">
        <v>1</v>
      </c>
      <c r="L46" s="27">
        <f t="shared" si="8"/>
        <v>0.79</v>
      </c>
      <c r="M46" s="28"/>
      <c r="N46" s="31">
        <f t="shared" si="9"/>
        <v>0</v>
      </c>
      <c r="O46" s="32"/>
    </row>
    <row r="47" spans="2:15" ht="25.5" x14ac:dyDescent="0.25">
      <c r="B47" s="50" t="s">
        <v>27</v>
      </c>
      <c r="C47" s="51"/>
      <c r="D47" s="51"/>
      <c r="E47" s="51"/>
      <c r="F47" s="52"/>
      <c r="G47" s="53"/>
      <c r="H47" s="54">
        <f>SUM(H39:H46)+H38</f>
        <v>129.4204</v>
      </c>
      <c r="I47" s="41"/>
      <c r="J47" s="53"/>
      <c r="K47" s="55"/>
      <c r="L47" s="54">
        <f>SUM(L39:L46)+L38</f>
        <v>114.7510083482059</v>
      </c>
      <c r="M47" s="41"/>
      <c r="N47" s="44">
        <f t="shared" si="9"/>
        <v>-14.669391651794101</v>
      </c>
      <c r="O47" s="45">
        <f t="shared" ref="O47:O65" si="11">IF((H47)=0,"",(N47/H47))</f>
        <v>-0.11334682671197199</v>
      </c>
    </row>
    <row r="48" spans="2:15" x14ac:dyDescent="0.25">
      <c r="B48" s="28" t="s">
        <v>28</v>
      </c>
      <c r="C48" s="28"/>
      <c r="D48" s="56" t="s">
        <v>61</v>
      </c>
      <c r="E48" s="57"/>
      <c r="F48" s="29">
        <v>6.8999999999999999E-3</v>
      </c>
      <c r="G48" s="58">
        <f>F16*(1+F74)</f>
        <v>5240</v>
      </c>
      <c r="H48" s="27">
        <f>G48*F48</f>
        <v>36.155999999999999</v>
      </c>
      <c r="I48" s="28"/>
      <c r="J48" s="29">
        <f>'[5]13. Final 2015 RTS Rates'!$F$27</f>
        <v>7.0871105522439639E-3</v>
      </c>
      <c r="K48" s="59">
        <f>F16*(1+J74)</f>
        <v>5235.5</v>
      </c>
      <c r="L48" s="27">
        <f>K48*J48</f>
        <v>37.104567296273274</v>
      </c>
      <c r="M48" s="28"/>
      <c r="N48" s="31">
        <f t="shared" si="9"/>
        <v>0.94856729627327496</v>
      </c>
      <c r="O48" s="32">
        <f t="shared" si="11"/>
        <v>2.6235404808974305E-2</v>
      </c>
    </row>
    <row r="49" spans="2:19" x14ac:dyDescent="0.25">
      <c r="B49" s="60" t="s">
        <v>29</v>
      </c>
      <c r="C49" s="28"/>
      <c r="D49" s="56" t="s">
        <v>61</v>
      </c>
      <c r="E49" s="57"/>
      <c r="F49" s="29">
        <v>5.1999999999999998E-3</v>
      </c>
      <c r="G49" s="58">
        <f>G48</f>
        <v>5240</v>
      </c>
      <c r="H49" s="27">
        <f>G49*F49</f>
        <v>27.247999999999998</v>
      </c>
      <c r="I49" s="28"/>
      <c r="J49" s="29">
        <f>'[5]13. Final 2015 RTS Rates'!$H$27</f>
        <v>5.3052532652731223E-3</v>
      </c>
      <c r="K49" s="59">
        <f>K48</f>
        <v>5235.5</v>
      </c>
      <c r="L49" s="27">
        <f>K49*J49</f>
        <v>27.775653470337431</v>
      </c>
      <c r="M49" s="28"/>
      <c r="N49" s="31">
        <f t="shared" si="9"/>
        <v>0.52765347033743382</v>
      </c>
      <c r="O49" s="32">
        <f t="shared" si="11"/>
        <v>1.9364851377621617E-2</v>
      </c>
    </row>
    <row r="50" spans="2:19" x14ac:dyDescent="0.25">
      <c r="B50" s="50" t="s">
        <v>30</v>
      </c>
      <c r="C50" s="36"/>
      <c r="D50" s="36"/>
      <c r="E50" s="36"/>
      <c r="F50" s="61"/>
      <c r="G50" s="53"/>
      <c r="H50" s="54">
        <f>SUM(H47:H49)</f>
        <v>192.8244</v>
      </c>
      <c r="I50" s="62"/>
      <c r="J50" s="63"/>
      <c r="K50" s="64"/>
      <c r="L50" s="54">
        <f>SUM(L47:L49)</f>
        <v>179.63122911481662</v>
      </c>
      <c r="M50" s="62"/>
      <c r="N50" s="44">
        <f t="shared" si="9"/>
        <v>-13.193170885183378</v>
      </c>
      <c r="O50" s="45">
        <f t="shared" si="11"/>
        <v>-6.8420650525469695E-2</v>
      </c>
    </row>
    <row r="51" spans="2:19" x14ac:dyDescent="0.25">
      <c r="B51" s="65" t="s">
        <v>31</v>
      </c>
      <c r="C51" s="22"/>
      <c r="D51" s="23" t="s">
        <v>61</v>
      </c>
      <c r="E51" s="24"/>
      <c r="F51" s="66">
        <v>4.4000000000000003E-3</v>
      </c>
      <c r="G51" s="58">
        <f>G49</f>
        <v>5240</v>
      </c>
      <c r="H51" s="67">
        <f t="shared" ref="H51:H57" si="12">G51*F51</f>
        <v>23.056000000000001</v>
      </c>
      <c r="I51" s="28"/>
      <c r="J51" s="66">
        <v>4.4000000000000003E-3</v>
      </c>
      <c r="K51" s="59">
        <f>K49</f>
        <v>5235.5</v>
      </c>
      <c r="L51" s="67">
        <f t="shared" ref="L51:L57" si="13">K51*J51</f>
        <v>23.036200000000001</v>
      </c>
      <c r="M51" s="28"/>
      <c r="N51" s="31">
        <f t="shared" si="9"/>
        <v>-1.980000000000004E-2</v>
      </c>
      <c r="O51" s="68">
        <f t="shared" si="11"/>
        <v>-8.5877862595420019E-4</v>
      </c>
    </row>
    <row r="52" spans="2:19" x14ac:dyDescent="0.25">
      <c r="B52" s="65" t="s">
        <v>32</v>
      </c>
      <c r="C52" s="22"/>
      <c r="D52" s="23" t="s">
        <v>61</v>
      </c>
      <c r="E52" s="24"/>
      <c r="F52" s="66">
        <v>1.2999999999999999E-3</v>
      </c>
      <c r="G52" s="58">
        <f>G49</f>
        <v>5240</v>
      </c>
      <c r="H52" s="67">
        <f t="shared" si="12"/>
        <v>6.8119999999999994</v>
      </c>
      <c r="I52" s="28"/>
      <c r="J52" s="66">
        <v>1.2999999999999999E-3</v>
      </c>
      <c r="K52" s="59">
        <f>K49</f>
        <v>5235.5</v>
      </c>
      <c r="L52" s="67">
        <f t="shared" si="13"/>
        <v>6.8061499999999997</v>
      </c>
      <c r="M52" s="28"/>
      <c r="N52" s="31">
        <f t="shared" si="9"/>
        <v>-5.8499999999996888E-3</v>
      </c>
      <c r="O52" s="68">
        <f t="shared" si="11"/>
        <v>-8.5877862595415291E-4</v>
      </c>
    </row>
    <row r="53" spans="2:19" x14ac:dyDescent="0.25">
      <c r="B53" s="22" t="s">
        <v>33</v>
      </c>
      <c r="C53" s="22"/>
      <c r="D53" s="23" t="s">
        <v>60</v>
      </c>
      <c r="E53" s="24"/>
      <c r="F53" s="176">
        <v>0.25</v>
      </c>
      <c r="G53" s="26">
        <v>1</v>
      </c>
      <c r="H53" s="67">
        <f t="shared" si="12"/>
        <v>0.25</v>
      </c>
      <c r="I53" s="28"/>
      <c r="J53" s="176">
        <v>0.25</v>
      </c>
      <c r="K53" s="30">
        <v>1</v>
      </c>
      <c r="L53" s="67">
        <f t="shared" si="13"/>
        <v>0.25</v>
      </c>
      <c r="M53" s="28"/>
      <c r="N53" s="31">
        <f t="shared" si="9"/>
        <v>0</v>
      </c>
      <c r="O53" s="68">
        <f t="shared" si="11"/>
        <v>0</v>
      </c>
    </row>
    <row r="54" spans="2:19" x14ac:dyDescent="0.25">
      <c r="B54" s="22" t="s">
        <v>34</v>
      </c>
      <c r="C54" s="22"/>
      <c r="D54" s="23" t="s">
        <v>61</v>
      </c>
      <c r="E54" s="24"/>
      <c r="F54" s="66">
        <v>7.0000000000000001E-3</v>
      </c>
      <c r="G54" s="69">
        <f>F16</f>
        <v>5000</v>
      </c>
      <c r="H54" s="67">
        <f t="shared" si="12"/>
        <v>35</v>
      </c>
      <c r="I54" s="28"/>
      <c r="J54" s="66">
        <v>7.0000000000000001E-3</v>
      </c>
      <c r="K54" s="70">
        <f>F16</f>
        <v>5000</v>
      </c>
      <c r="L54" s="67">
        <f t="shared" si="13"/>
        <v>35</v>
      </c>
      <c r="M54" s="28"/>
      <c r="N54" s="31">
        <f t="shared" si="9"/>
        <v>0</v>
      </c>
      <c r="O54" s="68">
        <f t="shared" si="11"/>
        <v>0</v>
      </c>
    </row>
    <row r="55" spans="2:19" x14ac:dyDescent="0.25">
      <c r="B55" s="49" t="s">
        <v>35</v>
      </c>
      <c r="C55" s="22"/>
      <c r="D55" s="23" t="s">
        <v>61</v>
      </c>
      <c r="E55" s="24"/>
      <c r="F55" s="66">
        <v>7.4999999999999997E-2</v>
      </c>
      <c r="G55" s="69">
        <f>0.64*$F$16</f>
        <v>3200</v>
      </c>
      <c r="H55" s="67">
        <f t="shared" si="12"/>
        <v>240</v>
      </c>
      <c r="I55" s="28"/>
      <c r="J55" s="66">
        <v>7.4999999999999997E-2</v>
      </c>
      <c r="K55" s="69">
        <f>G55</f>
        <v>3200</v>
      </c>
      <c r="L55" s="67">
        <f t="shared" si="13"/>
        <v>240</v>
      </c>
      <c r="M55" s="28"/>
      <c r="N55" s="31">
        <f t="shared" si="9"/>
        <v>0</v>
      </c>
      <c r="O55" s="68">
        <f t="shared" si="11"/>
        <v>0</v>
      </c>
      <c r="S55" s="72"/>
    </row>
    <row r="56" spans="2:19" x14ac:dyDescent="0.25">
      <c r="B56" s="49" t="s">
        <v>36</v>
      </c>
      <c r="C56" s="22"/>
      <c r="D56" s="23" t="s">
        <v>61</v>
      </c>
      <c r="E56" s="24"/>
      <c r="F56" s="66">
        <v>0.112</v>
      </c>
      <c r="G56" s="69">
        <f>0.18*$F$16</f>
        <v>900</v>
      </c>
      <c r="H56" s="67">
        <f t="shared" si="12"/>
        <v>100.8</v>
      </c>
      <c r="I56" s="28"/>
      <c r="J56" s="66">
        <v>0.112</v>
      </c>
      <c r="K56" s="69">
        <f>G56</f>
        <v>900</v>
      </c>
      <c r="L56" s="67">
        <f t="shared" si="13"/>
        <v>100.8</v>
      </c>
      <c r="M56" s="28"/>
      <c r="N56" s="31">
        <f t="shared" si="9"/>
        <v>0</v>
      </c>
      <c r="O56" s="68">
        <f t="shared" si="11"/>
        <v>0</v>
      </c>
      <c r="S56" s="72"/>
    </row>
    <row r="57" spans="2:19" x14ac:dyDescent="0.25">
      <c r="B57" s="12" t="s">
        <v>37</v>
      </c>
      <c r="C57" s="22"/>
      <c r="D57" s="23" t="s">
        <v>61</v>
      </c>
      <c r="E57" s="24"/>
      <c r="F57" s="66">
        <v>0.13500000000000001</v>
      </c>
      <c r="G57" s="69">
        <f>0.18*$F$16</f>
        <v>900</v>
      </c>
      <c r="H57" s="67">
        <f t="shared" si="12"/>
        <v>121.50000000000001</v>
      </c>
      <c r="I57" s="28"/>
      <c r="J57" s="66">
        <v>0.13500000000000001</v>
      </c>
      <c r="K57" s="69">
        <f>G57</f>
        <v>900</v>
      </c>
      <c r="L57" s="67">
        <f t="shared" si="13"/>
        <v>121.50000000000001</v>
      </c>
      <c r="M57" s="28"/>
      <c r="N57" s="31">
        <f t="shared" si="9"/>
        <v>0</v>
      </c>
      <c r="O57" s="68">
        <f t="shared" si="11"/>
        <v>0</v>
      </c>
      <c r="S57" s="72"/>
    </row>
    <row r="58" spans="2:19" s="73" customFormat="1" x14ac:dyDescent="0.2">
      <c r="B58" s="74" t="s">
        <v>38</v>
      </c>
      <c r="C58" s="75"/>
      <c r="D58" s="76" t="s">
        <v>61</v>
      </c>
      <c r="E58" s="77"/>
      <c r="F58" s="66">
        <v>8.5999999999999993E-2</v>
      </c>
      <c r="G58" s="78">
        <f>IF(AND($T$1=1, F16&gt;=600), 600, IF(AND($T$1=1, AND(F16&lt;600, F16&gt;=0)), F16, IF(AND($T$1=2, F16&gt;=1000), 1000, IF(AND($T$1=2, AND(F16&lt;1000, F16&gt;=0)), F16))))</f>
        <v>600</v>
      </c>
      <c r="H58" s="67">
        <f>G58*F58</f>
        <v>51.599999999999994</v>
      </c>
      <c r="I58" s="79"/>
      <c r="J58" s="66">
        <v>8.5999999999999993E-2</v>
      </c>
      <c r="K58" s="78">
        <f>G58</f>
        <v>600</v>
      </c>
      <c r="L58" s="67">
        <f>K58*J58</f>
        <v>51.599999999999994</v>
      </c>
      <c r="M58" s="79"/>
      <c r="N58" s="80">
        <f t="shared" si="9"/>
        <v>0</v>
      </c>
      <c r="O58" s="68">
        <f t="shared" si="11"/>
        <v>0</v>
      </c>
    </row>
    <row r="59" spans="2:19" s="73" customFormat="1" ht="15.75" thickBot="1" x14ac:dyDescent="0.25">
      <c r="B59" s="74" t="s">
        <v>39</v>
      </c>
      <c r="C59" s="75"/>
      <c r="D59" s="76" t="s">
        <v>61</v>
      </c>
      <c r="E59" s="77"/>
      <c r="F59" s="66">
        <v>0.10100000000000001</v>
      </c>
      <c r="G59" s="78">
        <f>IF(AND($T$1=1, F16&gt;=600), F16-600, IF(AND($T$1=1, AND(F16&lt;600, F16&gt;=0)), 0, IF(AND($T$1=2, F16&gt;=1000), F16-1000, IF(AND($T$1=2, AND(F16&lt;1000, F16&gt;=0)), 0))))</f>
        <v>4400</v>
      </c>
      <c r="H59" s="67">
        <f>G59*F59</f>
        <v>444.40000000000003</v>
      </c>
      <c r="I59" s="79"/>
      <c r="J59" s="66">
        <v>0.10100000000000001</v>
      </c>
      <c r="K59" s="78">
        <f>G59</f>
        <v>4400</v>
      </c>
      <c r="L59" s="67">
        <f>K59*J59</f>
        <v>444.40000000000003</v>
      </c>
      <c r="M59" s="79"/>
      <c r="N59" s="80">
        <f t="shared" si="9"/>
        <v>0</v>
      </c>
      <c r="O59" s="68">
        <f t="shared" si="11"/>
        <v>0</v>
      </c>
    </row>
    <row r="60" spans="2:19" ht="8.25" customHeight="1" thickBot="1" x14ac:dyDescent="0.3">
      <c r="B60" s="81"/>
      <c r="C60" s="82"/>
      <c r="D60" s="83"/>
      <c r="E60" s="82"/>
      <c r="F60" s="84"/>
      <c r="G60" s="85"/>
      <c r="H60" s="86"/>
      <c r="I60" s="87"/>
      <c r="J60" s="84"/>
      <c r="K60" s="88"/>
      <c r="L60" s="86"/>
      <c r="M60" s="87"/>
      <c r="N60" s="89"/>
      <c r="O60" s="90"/>
    </row>
    <row r="61" spans="2:19" x14ac:dyDescent="0.25">
      <c r="B61" s="91" t="s">
        <v>40</v>
      </c>
      <c r="C61" s="22"/>
      <c r="D61" s="22"/>
      <c r="E61" s="22"/>
      <c r="F61" s="92"/>
      <c r="G61" s="93"/>
      <c r="H61" s="94">
        <f>SUM(H51:H57,H50)</f>
        <v>720.24239999999998</v>
      </c>
      <c r="I61" s="95"/>
      <c r="J61" s="96"/>
      <c r="K61" s="96"/>
      <c r="L61" s="189">
        <f>SUM(L51:L57,L50)</f>
        <v>707.0235791148167</v>
      </c>
      <c r="M61" s="97"/>
      <c r="N61" s="98">
        <f>L61-H61</f>
        <v>-13.218820885183277</v>
      </c>
      <c r="O61" s="99">
        <f>IF((H61)=0,"",(N61/H61))</f>
        <v>-1.835329450915869E-2</v>
      </c>
      <c r="S61" s="72"/>
    </row>
    <row r="62" spans="2:19" x14ac:dyDescent="0.25">
      <c r="B62" s="100" t="s">
        <v>41</v>
      </c>
      <c r="C62" s="22"/>
      <c r="D62" s="22"/>
      <c r="E62" s="22"/>
      <c r="F62" s="101">
        <v>0.13</v>
      </c>
      <c r="G62" s="102"/>
      <c r="H62" s="103">
        <f>H61*F62</f>
        <v>93.631512000000001</v>
      </c>
      <c r="I62" s="104"/>
      <c r="J62" s="105">
        <v>0.13</v>
      </c>
      <c r="K62" s="104"/>
      <c r="L62" s="106">
        <f>L61*J62</f>
        <v>91.913065284926176</v>
      </c>
      <c r="M62" s="107"/>
      <c r="N62" s="108">
        <f t="shared" si="9"/>
        <v>-1.7184467150738243</v>
      </c>
      <c r="O62" s="109">
        <f t="shared" si="11"/>
        <v>-1.8353294509158673E-2</v>
      </c>
      <c r="S62" s="72"/>
    </row>
    <row r="63" spans="2:19" x14ac:dyDescent="0.25">
      <c r="B63" s="110" t="s">
        <v>42</v>
      </c>
      <c r="C63" s="22"/>
      <c r="D63" s="22"/>
      <c r="E63" s="22"/>
      <c r="F63" s="111"/>
      <c r="G63" s="102"/>
      <c r="H63" s="103">
        <f>H61+H62</f>
        <v>813.87391200000002</v>
      </c>
      <c r="I63" s="104"/>
      <c r="J63" s="104"/>
      <c r="K63" s="104"/>
      <c r="L63" s="106">
        <f>L61+L62</f>
        <v>798.93664439974282</v>
      </c>
      <c r="M63" s="107"/>
      <c r="N63" s="108">
        <f t="shared" si="9"/>
        <v>-14.937267600257201</v>
      </c>
      <c r="O63" s="109">
        <f t="shared" si="11"/>
        <v>-1.8353294509158811E-2</v>
      </c>
      <c r="S63" s="72"/>
    </row>
    <row r="64" spans="2:19" ht="15.75" customHeight="1" x14ac:dyDescent="0.25">
      <c r="B64" s="240" t="s">
        <v>43</v>
      </c>
      <c r="C64" s="240"/>
      <c r="D64" s="240"/>
      <c r="E64" s="22"/>
      <c r="F64" s="111"/>
      <c r="G64" s="102"/>
      <c r="H64" s="112">
        <f>ROUND(-H63*10%,2)</f>
        <v>-81.39</v>
      </c>
      <c r="I64" s="104"/>
      <c r="J64" s="104"/>
      <c r="K64" s="104"/>
      <c r="L64" s="113">
        <f>ROUND(-L63*10%,2)</f>
        <v>-79.89</v>
      </c>
      <c r="M64" s="107"/>
      <c r="N64" s="114">
        <f t="shared" si="9"/>
        <v>1.5</v>
      </c>
      <c r="O64" s="115">
        <f t="shared" si="11"/>
        <v>-1.8429782528566162E-2</v>
      </c>
    </row>
    <row r="65" spans="1:15" ht="15.75" thickBot="1" x14ac:dyDescent="0.3">
      <c r="B65" s="246" t="s">
        <v>44</v>
      </c>
      <c r="C65" s="246"/>
      <c r="D65" s="246"/>
      <c r="E65" s="116"/>
      <c r="F65" s="117"/>
      <c r="G65" s="118"/>
      <c r="H65" s="119">
        <f>H63+H64</f>
        <v>732.48391200000003</v>
      </c>
      <c r="I65" s="120"/>
      <c r="J65" s="120"/>
      <c r="K65" s="120"/>
      <c r="L65" s="121">
        <f>L63+L64</f>
        <v>719.04664439974283</v>
      </c>
      <c r="M65" s="122"/>
      <c r="N65" s="123">
        <f t="shared" si="9"/>
        <v>-13.437267600257201</v>
      </c>
      <c r="O65" s="124">
        <f t="shared" si="11"/>
        <v>-1.8344795537648888E-2</v>
      </c>
    </row>
    <row r="66" spans="1:15" s="73" customFormat="1" ht="8.25" customHeight="1" thickBot="1" x14ac:dyDescent="0.25">
      <c r="B66" s="125"/>
      <c r="C66" s="126"/>
      <c r="D66" s="127"/>
      <c r="E66" s="126"/>
      <c r="F66" s="84"/>
      <c r="G66" s="128"/>
      <c r="H66" s="86"/>
      <c r="I66" s="129"/>
      <c r="J66" s="84"/>
      <c r="K66" s="130"/>
      <c r="L66" s="86"/>
      <c r="M66" s="129"/>
      <c r="N66" s="131"/>
      <c r="O66" s="90"/>
    </row>
    <row r="67" spans="1:15" s="73" customFormat="1" ht="12.75" x14ac:dyDescent="0.2">
      <c r="B67" s="132" t="s">
        <v>45</v>
      </c>
      <c r="C67" s="75"/>
      <c r="D67" s="75"/>
      <c r="E67" s="75"/>
      <c r="F67" s="133"/>
      <c r="G67" s="134"/>
      <c r="H67" s="135">
        <f>SUM(H58:H59,H50,H51:H54)</f>
        <v>753.94240000000002</v>
      </c>
      <c r="I67" s="136"/>
      <c r="J67" s="137"/>
      <c r="K67" s="137"/>
      <c r="L67" s="188">
        <f>SUM(L58:L59,L50,L51:L54)</f>
        <v>740.72357911481663</v>
      </c>
      <c r="M67" s="138"/>
      <c r="N67" s="139">
        <f>L67-H67</f>
        <v>-13.218820885183391</v>
      </c>
      <c r="O67" s="99">
        <f>IF((H67)=0,"",(N67/H67))</f>
        <v>-1.7532932071711832E-2</v>
      </c>
    </row>
    <row r="68" spans="1:15" s="73" customFormat="1" ht="12.75" x14ac:dyDescent="0.2">
      <c r="B68" s="140" t="s">
        <v>41</v>
      </c>
      <c r="C68" s="75"/>
      <c r="D68" s="75"/>
      <c r="E68" s="75"/>
      <c r="F68" s="141">
        <v>0.13</v>
      </c>
      <c r="G68" s="134"/>
      <c r="H68" s="142">
        <f>H67*F68</f>
        <v>98.012512000000001</v>
      </c>
      <c r="I68" s="143"/>
      <c r="J68" s="144">
        <v>0.13</v>
      </c>
      <c r="K68" s="145"/>
      <c r="L68" s="146">
        <f>L67*J68</f>
        <v>96.294065284926162</v>
      </c>
      <c r="M68" s="147"/>
      <c r="N68" s="148">
        <f>L68-H68</f>
        <v>-1.7184467150738385</v>
      </c>
      <c r="O68" s="109">
        <f>IF((H68)=0,"",(N68/H68))</f>
        <v>-1.7532932071711808E-2</v>
      </c>
    </row>
    <row r="69" spans="1:15" s="73" customFormat="1" ht="12.75" x14ac:dyDescent="0.2">
      <c r="B69" s="149" t="s">
        <v>42</v>
      </c>
      <c r="C69" s="75"/>
      <c r="D69" s="75"/>
      <c r="E69" s="75"/>
      <c r="F69" s="150"/>
      <c r="G69" s="151"/>
      <c r="H69" s="142">
        <f>H67+H68</f>
        <v>851.95491200000004</v>
      </c>
      <c r="I69" s="143"/>
      <c r="J69" s="143"/>
      <c r="K69" s="143"/>
      <c r="L69" s="146">
        <f>L67+L68</f>
        <v>837.01764439974284</v>
      </c>
      <c r="M69" s="147"/>
      <c r="N69" s="148">
        <f>L69-H69</f>
        <v>-14.937267600257201</v>
      </c>
      <c r="O69" s="109">
        <f>IF((H69)=0,"",(N69/H69))</f>
        <v>-1.7532932071711794E-2</v>
      </c>
    </row>
    <row r="70" spans="1:15" s="73" customFormat="1" ht="15.75" customHeight="1" x14ac:dyDescent="0.2">
      <c r="B70" s="241" t="s">
        <v>43</v>
      </c>
      <c r="C70" s="241"/>
      <c r="D70" s="241"/>
      <c r="E70" s="75"/>
      <c r="F70" s="150"/>
      <c r="G70" s="151"/>
      <c r="H70" s="152">
        <f>ROUND(-H69*10%,2)</f>
        <v>-85.2</v>
      </c>
      <c r="I70" s="143"/>
      <c r="J70" s="143"/>
      <c r="K70" s="143"/>
      <c r="L70" s="153">
        <f>ROUND(-L69*10%,2)</f>
        <v>-83.7</v>
      </c>
      <c r="M70" s="147"/>
      <c r="N70" s="154">
        <f>L70-H70</f>
        <v>1.5</v>
      </c>
      <c r="O70" s="115">
        <f>IF((H70)=0,"",(N70/H70))</f>
        <v>-1.7605633802816902E-2</v>
      </c>
    </row>
    <row r="71" spans="1:15" s="73" customFormat="1" ht="13.5" thickBot="1" x14ac:dyDescent="0.25">
      <c r="B71" s="233" t="s">
        <v>46</v>
      </c>
      <c r="C71" s="233"/>
      <c r="D71" s="233"/>
      <c r="E71" s="155"/>
      <c r="F71" s="156"/>
      <c r="G71" s="157"/>
      <c r="H71" s="158">
        <f>SUM(H69:H70)</f>
        <v>766.75491199999999</v>
      </c>
      <c r="I71" s="159"/>
      <c r="J71" s="159"/>
      <c r="K71" s="159"/>
      <c r="L71" s="160">
        <f>SUM(L69:L70)</f>
        <v>753.31764439974279</v>
      </c>
      <c r="M71" s="161"/>
      <c r="N71" s="162">
        <f>L71-H71</f>
        <v>-13.437267600257201</v>
      </c>
      <c r="O71" s="163">
        <f>IF((H71)=0,"",(N71/H71))</f>
        <v>-1.7524853626574747E-2</v>
      </c>
    </row>
    <row r="72" spans="1:15" s="73" customFormat="1" ht="8.25" customHeight="1" thickBot="1" x14ac:dyDescent="0.25">
      <c r="B72" s="125"/>
      <c r="C72" s="126"/>
      <c r="D72" s="127"/>
      <c r="E72" s="126"/>
      <c r="F72" s="164"/>
      <c r="G72" s="165"/>
      <c r="H72" s="166"/>
      <c r="I72" s="167"/>
      <c r="J72" s="164"/>
      <c r="K72" s="128"/>
      <c r="L72" s="168"/>
      <c r="M72" s="129"/>
      <c r="N72" s="169"/>
      <c r="O72" s="90"/>
    </row>
    <row r="73" spans="1:15" ht="10.5" customHeight="1" x14ac:dyDescent="0.25">
      <c r="L73" s="72"/>
    </row>
    <row r="74" spans="1:15" x14ac:dyDescent="0.25">
      <c r="B74" s="13" t="s">
        <v>47</v>
      </c>
      <c r="F74" s="170">
        <v>4.8000000000000001E-2</v>
      </c>
      <c r="J74" s="170">
        <f>'Res (100kWh)'!$J$74</f>
        <v>4.7100000000000003E-2</v>
      </c>
    </row>
    <row r="75" spans="1:15" ht="10.5" customHeight="1" x14ac:dyDescent="0.25"/>
    <row r="76" spans="1:15" x14ac:dyDescent="0.25">
      <c r="A76" s="171" t="s">
        <v>48</v>
      </c>
    </row>
    <row r="77" spans="1:15" ht="10.5" customHeight="1" x14ac:dyDescent="0.25"/>
    <row r="78" spans="1:15" x14ac:dyDescent="0.25">
      <c r="A78" s="7" t="s">
        <v>49</v>
      </c>
    </row>
    <row r="79" spans="1:15" x14ac:dyDescent="0.25">
      <c r="A79" s="7" t="s">
        <v>50</v>
      </c>
    </row>
    <row r="81" spans="1:2" x14ac:dyDescent="0.25">
      <c r="A81" s="12" t="s">
        <v>51</v>
      </c>
    </row>
    <row r="82" spans="1:2" x14ac:dyDescent="0.25">
      <c r="A82" s="12" t="s">
        <v>52</v>
      </c>
    </row>
    <row r="84" spans="1:2" x14ac:dyDescent="0.25">
      <c r="A84" s="7" t="s">
        <v>53</v>
      </c>
    </row>
    <row r="85" spans="1:2" x14ac:dyDescent="0.25">
      <c r="A85" s="7" t="s">
        <v>54</v>
      </c>
    </row>
    <row r="86" spans="1:2" x14ac:dyDescent="0.25">
      <c r="A86" s="7" t="s">
        <v>55</v>
      </c>
    </row>
    <row r="87" spans="1:2" x14ac:dyDescent="0.25">
      <c r="A87" s="7" t="s">
        <v>56</v>
      </c>
    </row>
    <row r="88" spans="1:2" x14ac:dyDescent="0.25">
      <c r="A88" s="7" t="s">
        <v>57</v>
      </c>
    </row>
    <row r="90" spans="1:2" x14ac:dyDescent="0.25">
      <c r="A90" s="172"/>
      <c r="B90" s="7" t="s">
        <v>58</v>
      </c>
    </row>
  </sheetData>
  <mergeCells count="17">
    <mergeCell ref="B64:D64"/>
    <mergeCell ref="B65:D65"/>
    <mergeCell ref="B70:D70"/>
    <mergeCell ref="B71:D71"/>
    <mergeCell ref="B9:O9"/>
    <mergeCell ref="D12:O12"/>
    <mergeCell ref="F18:H18"/>
    <mergeCell ref="J18:L18"/>
    <mergeCell ref="N18:O18"/>
    <mergeCell ref="D19:D20"/>
    <mergeCell ref="N19:N20"/>
    <mergeCell ref="O19:O20"/>
    <mergeCell ref="B8:O8"/>
    <mergeCell ref="N1:O1"/>
    <mergeCell ref="N2:O2"/>
    <mergeCell ref="N3:O3"/>
    <mergeCell ref="N5:O5"/>
  </mergeCells>
  <dataValidations count="4">
    <dataValidation type="list" allowBlank="1" showInputMessage="1" showErrorMessage="1" sqref="E48:E49 E51:E57 E60 E39:E46 E21:E37">
      <formula1>#REF!</formula1>
    </dataValidation>
    <dataValidation type="list" allowBlank="1" showInputMessage="1" showErrorMessage="1" prompt="Select Charge Unit - monthly, per kWh, per kW" sqref="D48:D49 D66 D72 D51:D60 D39:D46 D21:D37">
      <formula1>"Monthly, per kWh, per kW"</formula1>
    </dataValidation>
    <dataValidation type="list" allowBlank="1" showInputMessage="1" showErrorMessage="1" sqref="E72 E66 E58:E59">
      <formula1>#REF!</formula1>
    </dataValidation>
    <dataValidation type="list" allowBlank="1" showInputMessage="1" showErrorMessage="1" sqref="D14">
      <formula1>"TOU, non-TOU"</formula1>
    </dataValidation>
  </dataValidations>
  <pageMargins left="0.7" right="0.7" top="0.75" bottom="0.75" header="0.3" footer="0.3"/>
  <pageSetup scale="59" fitToHeight="0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>
    <tabColor theme="0" tint="-0.14999847407452621"/>
    <pageSetUpPr fitToPage="1"/>
  </sheetPr>
  <dimension ref="A1:T90"/>
  <sheetViews>
    <sheetView showGridLines="0" topLeftCell="A9" workbookViewId="0">
      <selection activeCell="L1" sqref="L1:O5"/>
    </sheetView>
  </sheetViews>
  <sheetFormatPr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8.5703125" style="7" customWidth="1"/>
    <col min="8" max="8" width="10.28515625" style="7" bestFit="1" customWidth="1"/>
    <col min="9" max="9" width="2.85546875" style="7" customWidth="1"/>
    <col min="10" max="10" width="12.140625" style="7" customWidth="1"/>
    <col min="11" max="11" width="8.5703125" style="7" customWidth="1"/>
    <col min="12" max="12" width="13.42578125" style="7" bestFit="1" customWidth="1"/>
    <col min="13" max="13" width="2.85546875" style="7" customWidth="1"/>
    <col min="14" max="14" width="12.7109375" style="7" bestFit="1" customWidth="1"/>
    <col min="15" max="15" width="10.85546875" style="7" bestFit="1" customWidth="1"/>
    <col min="16" max="16" width="9.710937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248" t="str">
        <f>'Res (100kWh)'!$N$1:$O$1</f>
        <v>EB-2014-0099</v>
      </c>
      <c r="O1" s="248"/>
      <c r="P1" s="190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94</v>
      </c>
      <c r="N2" s="249">
        <f>'Res (100kWh)'!$N$2:$O$2</f>
        <v>8</v>
      </c>
      <c r="O2" s="249"/>
      <c r="P2" s="191"/>
    </row>
    <row r="3" spans="1:20" s="2" customFormat="1" ht="15" customHeight="1" x14ac:dyDescent="0.25">
      <c r="C3" s="6"/>
      <c r="D3" s="6"/>
      <c r="E3" s="6"/>
      <c r="L3" s="3" t="s">
        <v>95</v>
      </c>
      <c r="N3" s="248" t="str">
        <f>'Res (100kWh)'!$N$3:$O$3</f>
        <v>8-B</v>
      </c>
      <c r="O3" s="248"/>
      <c r="P3" s="190"/>
    </row>
    <row r="4" spans="1:20" s="2" customFormat="1" ht="9" customHeight="1" x14ac:dyDescent="0.25">
      <c r="L4" s="3"/>
      <c r="N4" s="232"/>
      <c r="O4"/>
      <c r="P4" s="192"/>
    </row>
    <row r="5" spans="1:20" s="2" customFormat="1" x14ac:dyDescent="0.25">
      <c r="L5" s="3" t="s">
        <v>75</v>
      </c>
      <c r="N5" s="248">
        <f>'Res (100kWh)'!$N$5:$O$5</f>
        <v>42118</v>
      </c>
      <c r="O5" s="248"/>
      <c r="P5" s="193"/>
    </row>
    <row r="6" spans="1:20" s="2" customFormat="1" ht="15" customHeight="1" x14ac:dyDescent="0.25">
      <c r="N6" s="7"/>
      <c r="O6"/>
      <c r="P6"/>
    </row>
    <row r="7" spans="1:20" ht="7.5" customHeight="1" x14ac:dyDescent="0.25">
      <c r="L7"/>
      <c r="M7"/>
      <c r="N7"/>
      <c r="O7"/>
      <c r="P7"/>
    </row>
    <row r="8" spans="1:20" ht="18.75" customHeight="1" x14ac:dyDescent="0.25">
      <c r="B8" s="247" t="s">
        <v>1</v>
      </c>
      <c r="C8" s="247"/>
      <c r="D8" s="247"/>
      <c r="E8" s="247"/>
      <c r="F8" s="247"/>
      <c r="G8" s="247"/>
      <c r="H8" s="247"/>
      <c r="I8" s="247"/>
      <c r="J8" s="247"/>
      <c r="K8" s="247"/>
      <c r="L8" s="247"/>
      <c r="M8" s="247"/>
      <c r="N8" s="247"/>
      <c r="O8" s="247"/>
      <c r="P8"/>
    </row>
    <row r="9" spans="1:20" ht="18.75" customHeight="1" x14ac:dyDescent="0.25">
      <c r="B9" s="247" t="s">
        <v>2</v>
      </c>
      <c r="C9" s="247"/>
      <c r="D9" s="247"/>
      <c r="E9" s="247"/>
      <c r="F9" s="247"/>
      <c r="G9" s="247"/>
      <c r="H9" s="247"/>
      <c r="I9" s="247"/>
      <c r="J9" s="247"/>
      <c r="K9" s="247"/>
      <c r="L9" s="247"/>
      <c r="M9" s="247"/>
      <c r="N9" s="247"/>
      <c r="O9" s="247"/>
      <c r="P9"/>
    </row>
    <row r="10" spans="1:20" ht="7.5" customHeight="1" x14ac:dyDescent="0.25">
      <c r="L10"/>
      <c r="M10"/>
      <c r="N10"/>
      <c r="O10"/>
      <c r="P10"/>
    </row>
    <row r="11" spans="1:20" ht="7.5" customHeight="1" x14ac:dyDescent="0.25">
      <c r="L11"/>
      <c r="M11"/>
      <c r="N11"/>
      <c r="O11"/>
      <c r="P11"/>
    </row>
    <row r="12" spans="1:20" ht="15.75" x14ac:dyDescent="0.25">
      <c r="B12" s="8" t="s">
        <v>3</v>
      </c>
      <c r="D12" s="242" t="s">
        <v>67</v>
      </c>
      <c r="E12" s="242"/>
      <c r="F12" s="242"/>
      <c r="G12" s="242"/>
      <c r="H12" s="242"/>
      <c r="I12" s="242"/>
      <c r="J12" s="242"/>
      <c r="K12" s="242"/>
      <c r="L12" s="242"/>
      <c r="M12" s="242"/>
      <c r="N12" s="242"/>
      <c r="O12" s="242"/>
    </row>
    <row r="13" spans="1:20" ht="7.5" customHeight="1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5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x14ac:dyDescent="0.25">
      <c r="B16" s="12"/>
      <c r="D16" s="13" t="s">
        <v>6</v>
      </c>
      <c r="E16" s="13"/>
      <c r="F16" s="14">
        <v>10000</v>
      </c>
      <c r="G16" s="13" t="s">
        <v>7</v>
      </c>
    </row>
    <row r="17" spans="2:15" x14ac:dyDescent="0.25">
      <c r="B17" s="12"/>
    </row>
    <row r="18" spans="2:15" x14ac:dyDescent="0.25">
      <c r="B18" s="12"/>
      <c r="D18" s="15"/>
      <c r="E18" s="15"/>
      <c r="F18" s="243" t="s">
        <v>8</v>
      </c>
      <c r="G18" s="244"/>
      <c r="H18" s="245"/>
      <c r="J18" s="243" t="s">
        <v>9</v>
      </c>
      <c r="K18" s="244"/>
      <c r="L18" s="245"/>
      <c r="N18" s="243" t="s">
        <v>10</v>
      </c>
      <c r="O18" s="245"/>
    </row>
    <row r="19" spans="2:15" x14ac:dyDescent="0.25">
      <c r="B19" s="12"/>
      <c r="D19" s="234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236" t="s">
        <v>15</v>
      </c>
      <c r="O19" s="238" t="s">
        <v>16</v>
      </c>
    </row>
    <row r="20" spans="2:15" x14ac:dyDescent="0.25">
      <c r="B20" s="12"/>
      <c r="D20" s="235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237"/>
      <c r="O20" s="239"/>
    </row>
    <row r="21" spans="2:15" ht="22.5" customHeight="1" x14ac:dyDescent="0.25">
      <c r="B21" s="22" t="s">
        <v>18</v>
      </c>
      <c r="C21" s="22"/>
      <c r="D21" s="23" t="s">
        <v>60</v>
      </c>
      <c r="E21" s="24"/>
      <c r="F21" s="174">
        <f>'[2]2014 Existing Rates'!$C$7</f>
        <v>21.69</v>
      </c>
      <c r="G21" s="26">
        <v>1</v>
      </c>
      <c r="H21" s="27">
        <f>G21*F21</f>
        <v>21.69</v>
      </c>
      <c r="I21" s="28"/>
      <c r="J21" s="173">
        <f>'[2]Rate Schedule '!$E$16</f>
        <v>24.79</v>
      </c>
      <c r="K21" s="30">
        <v>1</v>
      </c>
      <c r="L21" s="27">
        <f>K21*J21</f>
        <v>24.79</v>
      </c>
      <c r="M21" s="28"/>
      <c r="N21" s="31">
        <f>L21-H21</f>
        <v>3.0999999999999979</v>
      </c>
      <c r="O21" s="32">
        <f>IF((H21)=0,"",(N21/H21))</f>
        <v>0.14292300599354529</v>
      </c>
    </row>
    <row r="22" spans="2:15" ht="36.75" customHeight="1" x14ac:dyDescent="0.25">
      <c r="B22" s="65" t="s">
        <v>80</v>
      </c>
      <c r="C22" s="22"/>
      <c r="D22" s="56" t="s">
        <v>60</v>
      </c>
      <c r="E22" s="24"/>
      <c r="F22" s="173">
        <v>7.85</v>
      </c>
      <c r="G22" s="26">
        <v>1</v>
      </c>
      <c r="H22" s="27">
        <f t="shared" ref="H22:H37" si="0">G22*F22</f>
        <v>7.85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-7.85</v>
      </c>
      <c r="O22" s="32">
        <f>IF((H22)=0,"",(N22/H22))</f>
        <v>-1</v>
      </c>
    </row>
    <row r="23" spans="2:15" ht="36.75" customHeight="1" x14ac:dyDescent="0.25">
      <c r="B23" s="175" t="s">
        <v>63</v>
      </c>
      <c r="C23" s="22"/>
      <c r="D23" s="56" t="s">
        <v>60</v>
      </c>
      <c r="E23" s="57"/>
      <c r="F23" s="173">
        <v>3.2</v>
      </c>
      <c r="G23" s="26">
        <v>1</v>
      </c>
      <c r="H23" s="27">
        <f t="shared" si="0"/>
        <v>3.2</v>
      </c>
      <c r="I23" s="28"/>
      <c r="J23" s="29"/>
      <c r="K23" s="30">
        <v>1</v>
      </c>
      <c r="L23" s="27">
        <f t="shared" ref="L23:L37" si="1">K23*J23</f>
        <v>0</v>
      </c>
      <c r="M23" s="28"/>
      <c r="N23" s="31">
        <f t="shared" ref="N23:N38" si="2">L23-H23</f>
        <v>-3.2</v>
      </c>
      <c r="O23" s="32">
        <f t="shared" ref="O23:O38" si="3">IF((H23)=0,"",(N23/H23))</f>
        <v>-1</v>
      </c>
    </row>
    <row r="24" spans="2:15" x14ac:dyDescent="0.25">
      <c r="B24" s="175" t="s">
        <v>64</v>
      </c>
      <c r="C24" s="22"/>
      <c r="D24" s="23" t="s">
        <v>60</v>
      </c>
      <c r="E24" s="24"/>
      <c r="F24" s="25"/>
      <c r="G24" s="26">
        <v>1</v>
      </c>
      <c r="H24" s="27">
        <f t="shared" si="0"/>
        <v>0</v>
      </c>
      <c r="I24" s="28"/>
      <c r="J24" s="173">
        <f>'[3]Stranded Meter Calc'!$B$108</f>
        <v>1.92</v>
      </c>
      <c r="K24" s="30">
        <v>1</v>
      </c>
      <c r="L24" s="27">
        <f t="shared" si="1"/>
        <v>1.92</v>
      </c>
      <c r="M24" s="28"/>
      <c r="N24" s="31">
        <f t="shared" si="2"/>
        <v>1.92</v>
      </c>
      <c r="O24" s="32" t="str">
        <f t="shared" si="3"/>
        <v/>
      </c>
    </row>
    <row r="25" spans="2:15" x14ac:dyDescent="0.25">
      <c r="B25" s="175" t="s">
        <v>88</v>
      </c>
      <c r="C25" s="22"/>
      <c r="D25" s="23" t="s">
        <v>61</v>
      </c>
      <c r="E25" s="24"/>
      <c r="F25" s="25">
        <v>0</v>
      </c>
      <c r="G25" s="26">
        <f t="shared" ref="G25" si="4">$F$16</f>
        <v>10000</v>
      </c>
      <c r="H25" s="27">
        <f t="shared" si="0"/>
        <v>0</v>
      </c>
      <c r="I25" s="28"/>
      <c r="J25" s="29">
        <f>'[4]6. Rate Rider Calculations'!$F$104</f>
        <v>9.0291109723667786E-4</v>
      </c>
      <c r="K25" s="26">
        <f>$F$16</f>
        <v>10000</v>
      </c>
      <c r="L25" s="27">
        <f t="shared" si="1"/>
        <v>9.0291109723667784</v>
      </c>
      <c r="M25" s="28"/>
      <c r="N25" s="31">
        <f t="shared" si="2"/>
        <v>9.0291109723667784</v>
      </c>
      <c r="O25" s="32" t="str">
        <f t="shared" si="3"/>
        <v/>
      </c>
    </row>
    <row r="26" spans="2:15" x14ac:dyDescent="0.25">
      <c r="B26" s="46" t="s">
        <v>65</v>
      </c>
      <c r="C26" s="22"/>
      <c r="D26" s="23" t="s">
        <v>61</v>
      </c>
      <c r="E26" s="24"/>
      <c r="F26" s="25">
        <v>-2.0000000000000001E-4</v>
      </c>
      <c r="G26" s="26">
        <f>$F$16</f>
        <v>10000</v>
      </c>
      <c r="H26" s="27">
        <f t="shared" si="0"/>
        <v>-2</v>
      </c>
      <c r="I26" s="28"/>
      <c r="J26" s="173"/>
      <c r="K26" s="26">
        <f>$F$16</f>
        <v>10000</v>
      </c>
      <c r="L26" s="27">
        <f t="shared" si="1"/>
        <v>0</v>
      </c>
      <c r="M26" s="28"/>
      <c r="N26" s="31">
        <f t="shared" si="2"/>
        <v>2</v>
      </c>
      <c r="O26" s="32">
        <f t="shared" si="3"/>
        <v>-1</v>
      </c>
    </row>
    <row r="27" spans="2:15" x14ac:dyDescent="0.25">
      <c r="B27" s="46" t="s">
        <v>66</v>
      </c>
      <c r="C27" s="22"/>
      <c r="D27" s="23" t="s">
        <v>61</v>
      </c>
      <c r="E27" s="24"/>
      <c r="F27" s="25"/>
      <c r="G27" s="26">
        <f>$F$16</f>
        <v>10000</v>
      </c>
      <c r="H27" s="27">
        <f t="shared" si="0"/>
        <v>0</v>
      </c>
      <c r="I27" s="28"/>
      <c r="J27" s="29">
        <f>'[4]6. Rate Rider Calculations'!$F$76</f>
        <v>-7.1014119500589033E-3</v>
      </c>
      <c r="K27" s="26">
        <f>$F$16</f>
        <v>10000</v>
      </c>
      <c r="L27" s="27">
        <f t="shared" si="1"/>
        <v>-71.014119500589032</v>
      </c>
      <c r="M27" s="28"/>
      <c r="N27" s="31">
        <f t="shared" si="2"/>
        <v>-71.014119500589032</v>
      </c>
      <c r="O27" s="32" t="str">
        <f t="shared" si="3"/>
        <v/>
      </c>
    </row>
    <row r="28" spans="2:15" x14ac:dyDescent="0.25">
      <c r="B28" s="22" t="s">
        <v>19</v>
      </c>
      <c r="C28" s="22"/>
      <c r="D28" s="23" t="s">
        <v>61</v>
      </c>
      <c r="E28" s="24"/>
      <c r="F28" s="25">
        <f>'[2]2014 Existing Rates'!$E$7</f>
        <v>1.67E-2</v>
      </c>
      <c r="G28" s="26">
        <f>$F$16</f>
        <v>10000</v>
      </c>
      <c r="H28" s="27">
        <f t="shared" si="0"/>
        <v>167</v>
      </c>
      <c r="I28" s="28"/>
      <c r="J28" s="29">
        <f>'[2]Rate Schedule '!$E$17</f>
        <v>1.9099999999999999E-2</v>
      </c>
      <c r="K28" s="26">
        <f>$F$16</f>
        <v>10000</v>
      </c>
      <c r="L28" s="27">
        <f t="shared" si="1"/>
        <v>191</v>
      </c>
      <c r="M28" s="28"/>
      <c r="N28" s="31">
        <f t="shared" si="2"/>
        <v>24</v>
      </c>
      <c r="O28" s="32">
        <f t="shared" si="3"/>
        <v>0.1437125748502994</v>
      </c>
    </row>
    <row r="29" spans="2:15" hidden="1" x14ac:dyDescent="0.25">
      <c r="B29" s="22" t="s">
        <v>20</v>
      </c>
      <c r="C29" s="22"/>
      <c r="D29" s="23"/>
      <c r="E29" s="24"/>
      <c r="F29" s="25"/>
      <c r="G29" s="26">
        <f>$F$16</f>
        <v>10000</v>
      </c>
      <c r="H29" s="27">
        <f t="shared" si="0"/>
        <v>0</v>
      </c>
      <c r="I29" s="28"/>
      <c r="J29" s="29"/>
      <c r="K29" s="26">
        <f t="shared" ref="K29:K37" si="5">$F$16</f>
        <v>10000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idden="1" x14ac:dyDescent="0.25">
      <c r="B30" s="22" t="s">
        <v>21</v>
      </c>
      <c r="C30" s="22"/>
      <c r="D30" s="23"/>
      <c r="E30" s="24"/>
      <c r="F30" s="25"/>
      <c r="G30" s="26">
        <f>$F$16</f>
        <v>10000</v>
      </c>
      <c r="H30" s="27">
        <f t="shared" si="0"/>
        <v>0</v>
      </c>
      <c r="I30" s="28"/>
      <c r="J30" s="29"/>
      <c r="K30" s="26">
        <f t="shared" si="5"/>
        <v>10000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idden="1" x14ac:dyDescent="0.25">
      <c r="B31" s="33"/>
      <c r="C31" s="22"/>
      <c r="D31" s="23"/>
      <c r="E31" s="24"/>
      <c r="F31" s="25"/>
      <c r="G31" s="26">
        <f t="shared" ref="G31:G37" si="6">$F$16</f>
        <v>10000</v>
      </c>
      <c r="H31" s="27">
        <f t="shared" si="0"/>
        <v>0</v>
      </c>
      <c r="I31" s="28"/>
      <c r="J31" s="29"/>
      <c r="K31" s="26">
        <f t="shared" si="5"/>
        <v>10000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idden="1" x14ac:dyDescent="0.25">
      <c r="B32" s="33"/>
      <c r="C32" s="22"/>
      <c r="D32" s="23"/>
      <c r="E32" s="24"/>
      <c r="F32" s="25"/>
      <c r="G32" s="26">
        <f t="shared" si="6"/>
        <v>10000</v>
      </c>
      <c r="H32" s="27">
        <f t="shared" si="0"/>
        <v>0</v>
      </c>
      <c r="I32" s="28"/>
      <c r="J32" s="29"/>
      <c r="K32" s="26">
        <f t="shared" si="5"/>
        <v>10000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idden="1" x14ac:dyDescent="0.25">
      <c r="B33" s="33"/>
      <c r="C33" s="22"/>
      <c r="D33" s="23"/>
      <c r="E33" s="24"/>
      <c r="F33" s="25"/>
      <c r="G33" s="26">
        <f t="shared" si="6"/>
        <v>10000</v>
      </c>
      <c r="H33" s="27">
        <f t="shared" si="0"/>
        <v>0</v>
      </c>
      <c r="I33" s="28"/>
      <c r="J33" s="29"/>
      <c r="K33" s="26">
        <f t="shared" si="5"/>
        <v>10000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idden="1" x14ac:dyDescent="0.25">
      <c r="B34" s="33"/>
      <c r="C34" s="22"/>
      <c r="D34" s="23"/>
      <c r="E34" s="24"/>
      <c r="F34" s="25"/>
      <c r="G34" s="26">
        <f t="shared" si="6"/>
        <v>10000</v>
      </c>
      <c r="H34" s="27">
        <f t="shared" si="0"/>
        <v>0</v>
      </c>
      <c r="I34" s="28"/>
      <c r="J34" s="29"/>
      <c r="K34" s="26">
        <f t="shared" si="5"/>
        <v>10000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idden="1" x14ac:dyDescent="0.25">
      <c r="B35" s="33"/>
      <c r="C35" s="22"/>
      <c r="D35" s="23"/>
      <c r="E35" s="24"/>
      <c r="F35" s="25"/>
      <c r="G35" s="26">
        <f t="shared" si="6"/>
        <v>10000</v>
      </c>
      <c r="H35" s="27">
        <f t="shared" si="0"/>
        <v>0</v>
      </c>
      <c r="I35" s="28"/>
      <c r="J35" s="29"/>
      <c r="K35" s="26">
        <f t="shared" si="5"/>
        <v>10000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idden="1" x14ac:dyDescent="0.25">
      <c r="B36" s="33"/>
      <c r="C36" s="22"/>
      <c r="D36" s="23"/>
      <c r="E36" s="24"/>
      <c r="F36" s="25"/>
      <c r="G36" s="26">
        <f t="shared" si="6"/>
        <v>10000</v>
      </c>
      <c r="H36" s="27">
        <f t="shared" si="0"/>
        <v>0</v>
      </c>
      <c r="I36" s="28"/>
      <c r="J36" s="29"/>
      <c r="K36" s="26">
        <f t="shared" si="5"/>
        <v>10000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hidden="1" x14ac:dyDescent="0.25">
      <c r="B37" s="33"/>
      <c r="C37" s="22"/>
      <c r="D37" s="23"/>
      <c r="E37" s="24"/>
      <c r="F37" s="25"/>
      <c r="G37" s="26">
        <f t="shared" si="6"/>
        <v>10000</v>
      </c>
      <c r="H37" s="27">
        <f t="shared" si="0"/>
        <v>0</v>
      </c>
      <c r="I37" s="28"/>
      <c r="J37" s="29"/>
      <c r="K37" s="26">
        <f t="shared" si="5"/>
        <v>10000</v>
      </c>
      <c r="L37" s="27">
        <f t="shared" si="1"/>
        <v>0</v>
      </c>
      <c r="M37" s="28"/>
      <c r="N37" s="31">
        <f t="shared" si="2"/>
        <v>0</v>
      </c>
      <c r="O37" s="32" t="str">
        <f t="shared" si="3"/>
        <v/>
      </c>
    </row>
    <row r="38" spans="2:15" s="34" customFormat="1" x14ac:dyDescent="0.25">
      <c r="B38" s="35" t="s">
        <v>22</v>
      </c>
      <c r="C38" s="36"/>
      <c r="D38" s="37"/>
      <c r="E38" s="36"/>
      <c r="F38" s="38"/>
      <c r="G38" s="39"/>
      <c r="H38" s="40">
        <f>SUM(H21:H37)</f>
        <v>197.74</v>
      </c>
      <c r="I38" s="41"/>
      <c r="J38" s="42"/>
      <c r="K38" s="43"/>
      <c r="L38" s="40">
        <f>SUM(L21:L37)</f>
        <v>155.72499147177774</v>
      </c>
      <c r="M38" s="41"/>
      <c r="N38" s="44">
        <f t="shared" si="2"/>
        <v>-42.015008528222268</v>
      </c>
      <c r="O38" s="45">
        <f t="shared" si="3"/>
        <v>-0.212476021686165</v>
      </c>
    </row>
    <row r="39" spans="2:15" hidden="1" x14ac:dyDescent="0.25">
      <c r="B39" s="175"/>
      <c r="C39" s="22"/>
      <c r="D39" s="56" t="s">
        <v>60</v>
      </c>
      <c r="E39" s="24"/>
      <c r="F39" s="25"/>
      <c r="G39" s="26">
        <v>1</v>
      </c>
      <c r="H39" s="27">
        <f>G39*F39</f>
        <v>0</v>
      </c>
      <c r="I39" s="28"/>
      <c r="J39" s="173"/>
      <c r="K39" s="30">
        <v>1</v>
      </c>
      <c r="L39" s="27">
        <f>K39*J39</f>
        <v>0</v>
      </c>
      <c r="M39" s="28"/>
      <c r="N39" s="31">
        <f>L39-H39</f>
        <v>0</v>
      </c>
      <c r="O39" s="32" t="str">
        <f>IF((H39)=0,"",(N39/H39))</f>
        <v/>
      </c>
    </row>
    <row r="40" spans="2:15" x14ac:dyDescent="0.25">
      <c r="B40" s="46" t="s">
        <v>23</v>
      </c>
      <c r="C40" s="22"/>
      <c r="D40" s="56" t="s">
        <v>61</v>
      </c>
      <c r="E40" s="57"/>
      <c r="F40" s="29">
        <v>-1.8E-3</v>
      </c>
      <c r="G40" s="26">
        <f>$F$16</f>
        <v>10000</v>
      </c>
      <c r="H40" s="27">
        <f t="shared" ref="H40:H46" si="7">G40*F40</f>
        <v>-18</v>
      </c>
      <c r="I40" s="28"/>
      <c r="J40" s="29">
        <f>'[4]6. Rate Rider Calculations'!$F$21</f>
        <v>1.2383652246340647E-4</v>
      </c>
      <c r="K40" s="26">
        <f>$F$16</f>
        <v>10000</v>
      </c>
      <c r="L40" s="27">
        <f t="shared" ref="L40:L46" si="8">K40*J40</f>
        <v>1.2383652246340646</v>
      </c>
      <c r="M40" s="28"/>
      <c r="N40" s="31">
        <f t="shared" ref="N40:N65" si="9">L40-H40</f>
        <v>19.238365224634066</v>
      </c>
      <c r="O40" s="32">
        <f t="shared" ref="O40:O45" si="10">IF((H40)=0,"",(N40/H40))</f>
        <v>-1.0687980680352258</v>
      </c>
    </row>
    <row r="41" spans="2:15" hidden="1" x14ac:dyDescent="0.25">
      <c r="B41" s="46"/>
      <c r="C41" s="22"/>
      <c r="D41" s="23" t="s">
        <v>61</v>
      </c>
      <c r="E41" s="24"/>
      <c r="F41" s="25"/>
      <c r="G41" s="26">
        <f>$F$16</f>
        <v>10000</v>
      </c>
      <c r="H41" s="27">
        <f t="shared" si="7"/>
        <v>0</v>
      </c>
      <c r="I41" s="47"/>
      <c r="J41" s="29"/>
      <c r="K41" s="26">
        <f>$F$16</f>
        <v>10000</v>
      </c>
      <c r="L41" s="27">
        <f t="shared" si="8"/>
        <v>0</v>
      </c>
      <c r="M41" s="48"/>
      <c r="N41" s="31">
        <f t="shared" si="9"/>
        <v>0</v>
      </c>
      <c r="O41" s="32" t="str">
        <f t="shared" si="10"/>
        <v/>
      </c>
    </row>
    <row r="42" spans="2:15" hidden="1" x14ac:dyDescent="0.25">
      <c r="B42" s="46"/>
      <c r="C42" s="22"/>
      <c r="D42" s="23" t="s">
        <v>61</v>
      </c>
      <c r="E42" s="24"/>
      <c r="F42" s="25"/>
      <c r="G42" s="26">
        <f>$F$16</f>
        <v>10000</v>
      </c>
      <c r="H42" s="27">
        <f t="shared" si="7"/>
        <v>0</v>
      </c>
      <c r="I42" s="47"/>
      <c r="J42" s="29"/>
      <c r="K42" s="26">
        <f>$F$16</f>
        <v>10000</v>
      </c>
      <c r="L42" s="27">
        <f t="shared" si="8"/>
        <v>0</v>
      </c>
      <c r="M42" s="48"/>
      <c r="N42" s="31">
        <f t="shared" si="9"/>
        <v>0</v>
      </c>
      <c r="O42" s="32" t="str">
        <f t="shared" si="10"/>
        <v/>
      </c>
    </row>
    <row r="43" spans="2:15" hidden="1" x14ac:dyDescent="0.25">
      <c r="B43" s="46"/>
      <c r="C43" s="22"/>
      <c r="D43" s="23"/>
      <c r="E43" s="24"/>
      <c r="F43" s="25"/>
      <c r="G43" s="26">
        <f>$F$16</f>
        <v>10000</v>
      </c>
      <c r="H43" s="27">
        <f t="shared" si="7"/>
        <v>0</v>
      </c>
      <c r="I43" s="47"/>
      <c r="J43" s="29"/>
      <c r="K43" s="26">
        <f>$F$16</f>
        <v>10000</v>
      </c>
      <c r="L43" s="27">
        <f t="shared" si="8"/>
        <v>0</v>
      </c>
      <c r="M43" s="48"/>
      <c r="N43" s="31">
        <f t="shared" si="9"/>
        <v>0</v>
      </c>
      <c r="O43" s="32" t="str">
        <f t="shared" si="10"/>
        <v/>
      </c>
    </row>
    <row r="44" spans="2:15" x14ac:dyDescent="0.25">
      <c r="B44" s="49" t="s">
        <v>24</v>
      </c>
      <c r="C44" s="22"/>
      <c r="D44" s="23" t="s">
        <v>61</v>
      </c>
      <c r="E44" s="24"/>
      <c r="F44" s="195">
        <v>4.0000000000000003E-5</v>
      </c>
      <c r="G44" s="26">
        <f>$F$16</f>
        <v>10000</v>
      </c>
      <c r="H44" s="27">
        <f t="shared" si="7"/>
        <v>0.4</v>
      </c>
      <c r="I44" s="28"/>
      <c r="J44" s="196">
        <f>'[2]Rate Schedule '!$E$18</f>
        <v>6.9999999999999994E-5</v>
      </c>
      <c r="K44" s="26">
        <f>$F$16</f>
        <v>10000</v>
      </c>
      <c r="L44" s="27">
        <f t="shared" si="8"/>
        <v>0.7</v>
      </c>
      <c r="M44" s="28"/>
      <c r="N44" s="31">
        <f t="shared" si="9"/>
        <v>0.29999999999999993</v>
      </c>
      <c r="O44" s="32">
        <f t="shared" si="10"/>
        <v>0.74999999999999978</v>
      </c>
    </row>
    <row r="45" spans="2:15" s="34" customFormat="1" x14ac:dyDescent="0.25">
      <c r="B45" s="180" t="s">
        <v>25</v>
      </c>
      <c r="C45" s="24"/>
      <c r="D45" s="181" t="s">
        <v>61</v>
      </c>
      <c r="E45" s="24"/>
      <c r="F45" s="182">
        <f>IF(ISBLANK(D14)=TRUE, 0, IF(D14="TOU", 0.64*$F$55+0.18*$F$56+0.18*$F$57, IF(AND(D14="non-TOU", G59&gt;0), F59,F58)))</f>
        <v>9.2460000000000001E-2</v>
      </c>
      <c r="G45" s="26">
        <f>$F$16*(1+$F$74)-$F$16</f>
        <v>480</v>
      </c>
      <c r="H45" s="183">
        <f t="shared" si="7"/>
        <v>44.380800000000001</v>
      </c>
      <c r="I45" s="57"/>
      <c r="J45" s="184">
        <f>0.64*$F$55+0.18*$F$56+0.18*$F$57</f>
        <v>9.2460000000000001E-2</v>
      </c>
      <c r="K45" s="26">
        <f>$F$16*(1+$J$74)-$F$16</f>
        <v>471</v>
      </c>
      <c r="L45" s="183">
        <f t="shared" si="8"/>
        <v>43.548659999999998</v>
      </c>
      <c r="M45" s="57"/>
      <c r="N45" s="185">
        <f t="shared" si="9"/>
        <v>-0.83214000000000254</v>
      </c>
      <c r="O45" s="186">
        <f t="shared" si="10"/>
        <v>-1.8750000000000058E-2</v>
      </c>
    </row>
    <row r="46" spans="2:15" x14ac:dyDescent="0.25">
      <c r="B46" s="49" t="s">
        <v>26</v>
      </c>
      <c r="C46" s="22"/>
      <c r="D46" s="23" t="s">
        <v>60</v>
      </c>
      <c r="E46" s="24"/>
      <c r="F46" s="177">
        <v>0.79</v>
      </c>
      <c r="G46" s="26">
        <v>1</v>
      </c>
      <c r="H46" s="27">
        <f t="shared" si="7"/>
        <v>0.79</v>
      </c>
      <c r="I46" s="28"/>
      <c r="J46" s="177">
        <v>0.79</v>
      </c>
      <c r="K46" s="26">
        <v>1</v>
      </c>
      <c r="L46" s="27">
        <f t="shared" si="8"/>
        <v>0.79</v>
      </c>
      <c r="M46" s="28"/>
      <c r="N46" s="31">
        <f t="shared" si="9"/>
        <v>0</v>
      </c>
      <c r="O46" s="32"/>
    </row>
    <row r="47" spans="2:15" ht="25.5" x14ac:dyDescent="0.25">
      <c r="B47" s="50" t="s">
        <v>27</v>
      </c>
      <c r="C47" s="51"/>
      <c r="D47" s="51"/>
      <c r="E47" s="51"/>
      <c r="F47" s="52"/>
      <c r="G47" s="53"/>
      <c r="H47" s="54">
        <f>SUM(H39:H46)+H38</f>
        <v>225.3108</v>
      </c>
      <c r="I47" s="41"/>
      <c r="J47" s="53"/>
      <c r="K47" s="55"/>
      <c r="L47" s="54">
        <f>SUM(L39:L46)+L38</f>
        <v>202.0020166964118</v>
      </c>
      <c r="M47" s="41"/>
      <c r="N47" s="44">
        <f t="shared" si="9"/>
        <v>-23.3087833035882</v>
      </c>
      <c r="O47" s="45">
        <f t="shared" ref="O47:O65" si="11">IF((H47)=0,"",(N47/H47))</f>
        <v>-0.10345169119096022</v>
      </c>
    </row>
    <row r="48" spans="2:15" x14ac:dyDescent="0.25">
      <c r="B48" s="28" t="s">
        <v>28</v>
      </c>
      <c r="C48" s="28"/>
      <c r="D48" s="56" t="s">
        <v>61</v>
      </c>
      <c r="E48" s="57"/>
      <c r="F48" s="29">
        <v>6.8999999999999999E-3</v>
      </c>
      <c r="G48" s="58">
        <f>F16*(1+F74)</f>
        <v>10480</v>
      </c>
      <c r="H48" s="27">
        <f>G48*F48</f>
        <v>72.311999999999998</v>
      </c>
      <c r="I48" s="28"/>
      <c r="J48" s="29">
        <f>'[5]13. Final 2015 RTS Rates'!$F$27</f>
        <v>7.0871105522439639E-3</v>
      </c>
      <c r="K48" s="59">
        <f>F16*(1+J74)</f>
        <v>10471</v>
      </c>
      <c r="L48" s="27">
        <f>K48*J48</f>
        <v>74.209134592546548</v>
      </c>
      <c r="M48" s="28"/>
      <c r="N48" s="31">
        <f t="shared" si="9"/>
        <v>1.8971345925465499</v>
      </c>
      <c r="O48" s="32">
        <f t="shared" si="11"/>
        <v>2.6235404808974305E-2</v>
      </c>
    </row>
    <row r="49" spans="2:19" x14ac:dyDescent="0.25">
      <c r="B49" s="60" t="s">
        <v>29</v>
      </c>
      <c r="C49" s="28"/>
      <c r="D49" s="56" t="s">
        <v>61</v>
      </c>
      <c r="E49" s="57"/>
      <c r="F49" s="29">
        <v>5.1999999999999998E-3</v>
      </c>
      <c r="G49" s="58">
        <f>G48</f>
        <v>10480</v>
      </c>
      <c r="H49" s="27">
        <f>G49*F49</f>
        <v>54.495999999999995</v>
      </c>
      <c r="I49" s="28"/>
      <c r="J49" s="29">
        <f>'[5]13. Final 2015 RTS Rates'!$H$27</f>
        <v>5.3052532652731223E-3</v>
      </c>
      <c r="K49" s="59">
        <f>K48</f>
        <v>10471</v>
      </c>
      <c r="L49" s="27">
        <f>K49*J49</f>
        <v>55.551306940674863</v>
      </c>
      <c r="M49" s="28"/>
      <c r="N49" s="31">
        <f t="shared" si="9"/>
        <v>1.0553069406748676</v>
      </c>
      <c r="O49" s="32">
        <f t="shared" si="11"/>
        <v>1.9364851377621617E-2</v>
      </c>
    </row>
    <row r="50" spans="2:19" x14ac:dyDescent="0.25">
      <c r="B50" s="50" t="s">
        <v>30</v>
      </c>
      <c r="C50" s="36"/>
      <c r="D50" s="36"/>
      <c r="E50" s="36"/>
      <c r="F50" s="61"/>
      <c r="G50" s="53"/>
      <c r="H50" s="54">
        <f>SUM(H47:H49)</f>
        <v>352.11879999999996</v>
      </c>
      <c r="I50" s="62"/>
      <c r="J50" s="63"/>
      <c r="K50" s="64"/>
      <c r="L50" s="54">
        <f>SUM(L47:L49)</f>
        <v>331.76245822963324</v>
      </c>
      <c r="M50" s="62"/>
      <c r="N50" s="44">
        <f t="shared" si="9"/>
        <v>-20.356341770366726</v>
      </c>
      <c r="O50" s="45">
        <f t="shared" si="11"/>
        <v>-5.7811005178839435E-2</v>
      </c>
    </row>
    <row r="51" spans="2:19" x14ac:dyDescent="0.25">
      <c r="B51" s="65" t="s">
        <v>31</v>
      </c>
      <c r="C51" s="22"/>
      <c r="D51" s="23" t="s">
        <v>61</v>
      </c>
      <c r="E51" s="24"/>
      <c r="F51" s="66">
        <v>4.4000000000000003E-3</v>
      </c>
      <c r="G51" s="58">
        <f>G49</f>
        <v>10480</v>
      </c>
      <c r="H51" s="67">
        <f t="shared" ref="H51:H57" si="12">G51*F51</f>
        <v>46.112000000000002</v>
      </c>
      <c r="I51" s="28"/>
      <c r="J51" s="66">
        <v>4.4000000000000003E-3</v>
      </c>
      <c r="K51" s="59">
        <f>K49</f>
        <v>10471</v>
      </c>
      <c r="L51" s="67">
        <f t="shared" ref="L51:L57" si="13">K51*J51</f>
        <v>46.072400000000002</v>
      </c>
      <c r="M51" s="28"/>
      <c r="N51" s="31">
        <f t="shared" si="9"/>
        <v>-3.960000000000008E-2</v>
      </c>
      <c r="O51" s="68">
        <f t="shared" si="11"/>
        <v>-8.5877862595420019E-4</v>
      </c>
    </row>
    <row r="52" spans="2:19" x14ac:dyDescent="0.25">
      <c r="B52" s="65" t="s">
        <v>32</v>
      </c>
      <c r="C52" s="22"/>
      <c r="D52" s="23" t="s">
        <v>61</v>
      </c>
      <c r="E52" s="24"/>
      <c r="F52" s="66">
        <v>1.2999999999999999E-3</v>
      </c>
      <c r="G52" s="58">
        <f>G49</f>
        <v>10480</v>
      </c>
      <c r="H52" s="67">
        <f t="shared" si="12"/>
        <v>13.623999999999999</v>
      </c>
      <c r="I52" s="28"/>
      <c r="J52" s="66">
        <v>1.2999999999999999E-3</v>
      </c>
      <c r="K52" s="59">
        <f>K49</f>
        <v>10471</v>
      </c>
      <c r="L52" s="67">
        <f t="shared" si="13"/>
        <v>13.612299999999999</v>
      </c>
      <c r="M52" s="28"/>
      <c r="N52" s="31">
        <f t="shared" si="9"/>
        <v>-1.1699999999999378E-2</v>
      </c>
      <c r="O52" s="68">
        <f t="shared" si="11"/>
        <v>-8.5877862595415291E-4</v>
      </c>
    </row>
    <row r="53" spans="2:19" x14ac:dyDescent="0.25">
      <c r="B53" s="22" t="s">
        <v>33</v>
      </c>
      <c r="C53" s="22"/>
      <c r="D53" s="23" t="s">
        <v>60</v>
      </c>
      <c r="E53" s="24"/>
      <c r="F53" s="176">
        <v>0.25</v>
      </c>
      <c r="G53" s="26">
        <v>1</v>
      </c>
      <c r="H53" s="67">
        <f t="shared" si="12"/>
        <v>0.25</v>
      </c>
      <c r="I53" s="28"/>
      <c r="J53" s="176">
        <v>0.25</v>
      </c>
      <c r="K53" s="30">
        <v>1</v>
      </c>
      <c r="L53" s="67">
        <f t="shared" si="13"/>
        <v>0.25</v>
      </c>
      <c r="M53" s="28"/>
      <c r="N53" s="31">
        <f t="shared" si="9"/>
        <v>0</v>
      </c>
      <c r="O53" s="68">
        <f t="shared" si="11"/>
        <v>0</v>
      </c>
    </row>
    <row r="54" spans="2:19" x14ac:dyDescent="0.25">
      <c r="B54" s="22" t="s">
        <v>34</v>
      </c>
      <c r="C54" s="22"/>
      <c r="D54" s="23" t="s">
        <v>61</v>
      </c>
      <c r="E54" s="24"/>
      <c r="F54" s="66">
        <v>7.0000000000000001E-3</v>
      </c>
      <c r="G54" s="69">
        <f>F16</f>
        <v>10000</v>
      </c>
      <c r="H54" s="67">
        <f t="shared" si="12"/>
        <v>70</v>
      </c>
      <c r="I54" s="28"/>
      <c r="J54" s="66">
        <v>7.0000000000000001E-3</v>
      </c>
      <c r="K54" s="70">
        <f>F16</f>
        <v>10000</v>
      </c>
      <c r="L54" s="67">
        <f t="shared" si="13"/>
        <v>70</v>
      </c>
      <c r="M54" s="28"/>
      <c r="N54" s="31">
        <f t="shared" si="9"/>
        <v>0</v>
      </c>
      <c r="O54" s="68">
        <f t="shared" si="11"/>
        <v>0</v>
      </c>
    </row>
    <row r="55" spans="2:19" x14ac:dyDescent="0.25">
      <c r="B55" s="49" t="s">
        <v>35</v>
      </c>
      <c r="C55" s="22"/>
      <c r="D55" s="23" t="s">
        <v>61</v>
      </c>
      <c r="E55" s="24"/>
      <c r="F55" s="66">
        <v>7.4999999999999997E-2</v>
      </c>
      <c r="G55" s="69">
        <f>0.64*$F$16</f>
        <v>6400</v>
      </c>
      <c r="H55" s="67">
        <f t="shared" si="12"/>
        <v>480</v>
      </c>
      <c r="I55" s="28"/>
      <c r="J55" s="66">
        <v>7.4999999999999997E-2</v>
      </c>
      <c r="K55" s="69">
        <f>G55</f>
        <v>6400</v>
      </c>
      <c r="L55" s="67">
        <f t="shared" si="13"/>
        <v>480</v>
      </c>
      <c r="M55" s="28"/>
      <c r="N55" s="31">
        <f t="shared" si="9"/>
        <v>0</v>
      </c>
      <c r="O55" s="68">
        <f t="shared" si="11"/>
        <v>0</v>
      </c>
      <c r="S55" s="72"/>
    </row>
    <row r="56" spans="2:19" x14ac:dyDescent="0.25">
      <c r="B56" s="49" t="s">
        <v>36</v>
      </c>
      <c r="C56" s="22"/>
      <c r="D56" s="23" t="s">
        <v>61</v>
      </c>
      <c r="E56" s="24"/>
      <c r="F56" s="66">
        <v>0.112</v>
      </c>
      <c r="G56" s="69">
        <f>0.18*$F$16</f>
        <v>1800</v>
      </c>
      <c r="H56" s="67">
        <f t="shared" si="12"/>
        <v>201.6</v>
      </c>
      <c r="I56" s="28"/>
      <c r="J56" s="66">
        <v>0.112</v>
      </c>
      <c r="K56" s="69">
        <f>G56</f>
        <v>1800</v>
      </c>
      <c r="L56" s="67">
        <f t="shared" si="13"/>
        <v>201.6</v>
      </c>
      <c r="M56" s="28"/>
      <c r="N56" s="31">
        <f t="shared" si="9"/>
        <v>0</v>
      </c>
      <c r="O56" s="68">
        <f t="shared" si="11"/>
        <v>0</v>
      </c>
      <c r="S56" s="72"/>
    </row>
    <row r="57" spans="2:19" x14ac:dyDescent="0.25">
      <c r="B57" s="12" t="s">
        <v>37</v>
      </c>
      <c r="C57" s="22"/>
      <c r="D57" s="23" t="s">
        <v>61</v>
      </c>
      <c r="E57" s="24"/>
      <c r="F57" s="66">
        <v>0.13500000000000001</v>
      </c>
      <c r="G57" s="69">
        <f>0.18*$F$16</f>
        <v>1800</v>
      </c>
      <c r="H57" s="67">
        <f t="shared" si="12"/>
        <v>243.00000000000003</v>
      </c>
      <c r="I57" s="28"/>
      <c r="J57" s="66">
        <v>0.13500000000000001</v>
      </c>
      <c r="K57" s="69">
        <f>G57</f>
        <v>1800</v>
      </c>
      <c r="L57" s="67">
        <f t="shared" si="13"/>
        <v>243.00000000000003</v>
      </c>
      <c r="M57" s="28"/>
      <c r="N57" s="31">
        <f t="shared" si="9"/>
        <v>0</v>
      </c>
      <c r="O57" s="68">
        <f t="shared" si="11"/>
        <v>0</v>
      </c>
      <c r="S57" s="72"/>
    </row>
    <row r="58" spans="2:19" s="73" customFormat="1" x14ac:dyDescent="0.2">
      <c r="B58" s="74" t="s">
        <v>38</v>
      </c>
      <c r="C58" s="75"/>
      <c r="D58" s="76" t="s">
        <v>61</v>
      </c>
      <c r="E58" s="77"/>
      <c r="F58" s="66">
        <v>8.5999999999999993E-2</v>
      </c>
      <c r="G58" s="78">
        <f>IF(AND($T$1=1, F16&gt;=600), 600, IF(AND($T$1=1, AND(F16&lt;600, F16&gt;=0)), F16, IF(AND($T$1=2, F16&gt;=1000), 1000, IF(AND($T$1=2, AND(F16&lt;1000, F16&gt;=0)), F16))))</f>
        <v>600</v>
      </c>
      <c r="H58" s="67">
        <f>G58*F58</f>
        <v>51.599999999999994</v>
      </c>
      <c r="I58" s="79"/>
      <c r="J58" s="66">
        <v>8.5999999999999993E-2</v>
      </c>
      <c r="K58" s="78">
        <f>G58</f>
        <v>600</v>
      </c>
      <c r="L58" s="67">
        <f>K58*J58</f>
        <v>51.599999999999994</v>
      </c>
      <c r="M58" s="79"/>
      <c r="N58" s="80">
        <f t="shared" si="9"/>
        <v>0</v>
      </c>
      <c r="O58" s="68">
        <f t="shared" si="11"/>
        <v>0</v>
      </c>
    </row>
    <row r="59" spans="2:19" s="73" customFormat="1" ht="15.75" thickBot="1" x14ac:dyDescent="0.25">
      <c r="B59" s="74" t="s">
        <v>39</v>
      </c>
      <c r="C59" s="75"/>
      <c r="D59" s="76" t="s">
        <v>61</v>
      </c>
      <c r="E59" s="77"/>
      <c r="F59" s="66">
        <v>0.10100000000000001</v>
      </c>
      <c r="G59" s="78">
        <f>IF(AND($T$1=1, F16&gt;=600), F16-600, IF(AND($T$1=1, AND(F16&lt;600, F16&gt;=0)), 0, IF(AND($T$1=2, F16&gt;=1000), F16-1000, IF(AND($T$1=2, AND(F16&lt;1000, F16&gt;=0)), 0))))</f>
        <v>9400</v>
      </c>
      <c r="H59" s="67">
        <f>G59*F59</f>
        <v>949.40000000000009</v>
      </c>
      <c r="I59" s="79"/>
      <c r="J59" s="66">
        <v>0.10100000000000001</v>
      </c>
      <c r="K59" s="78">
        <f>G59</f>
        <v>9400</v>
      </c>
      <c r="L59" s="67">
        <f>K59*J59</f>
        <v>949.40000000000009</v>
      </c>
      <c r="M59" s="79"/>
      <c r="N59" s="80">
        <f t="shared" si="9"/>
        <v>0</v>
      </c>
      <c r="O59" s="68">
        <f t="shared" si="11"/>
        <v>0</v>
      </c>
    </row>
    <row r="60" spans="2:19" ht="8.25" customHeight="1" thickBot="1" x14ac:dyDescent="0.3">
      <c r="B60" s="81"/>
      <c r="C60" s="82"/>
      <c r="D60" s="83"/>
      <c r="E60" s="82"/>
      <c r="F60" s="84"/>
      <c r="G60" s="85"/>
      <c r="H60" s="86"/>
      <c r="I60" s="87"/>
      <c r="J60" s="84"/>
      <c r="K60" s="88"/>
      <c r="L60" s="86"/>
      <c r="M60" s="87"/>
      <c r="N60" s="89"/>
      <c r="O60" s="90"/>
    </row>
    <row r="61" spans="2:19" x14ac:dyDescent="0.25">
      <c r="B61" s="91" t="s">
        <v>40</v>
      </c>
      <c r="C61" s="22"/>
      <c r="D61" s="22"/>
      <c r="E61" s="22"/>
      <c r="F61" s="92"/>
      <c r="G61" s="93"/>
      <c r="H61" s="94">
        <f>SUM(H51:H57,H50)</f>
        <v>1406.7048</v>
      </c>
      <c r="I61" s="95"/>
      <c r="J61" s="96"/>
      <c r="K61" s="96"/>
      <c r="L61" s="189">
        <f>SUM(L51:L57,L50)</f>
        <v>1386.2971582296334</v>
      </c>
      <c r="M61" s="97"/>
      <c r="N61" s="98">
        <f>L61-H61</f>
        <v>-20.407641770366581</v>
      </c>
      <c r="O61" s="99">
        <f>IF((H61)=0,"",(N61/H61))</f>
        <v>-1.4507408925004437E-2</v>
      </c>
      <c r="S61" s="72"/>
    </row>
    <row r="62" spans="2:19" x14ac:dyDescent="0.25">
      <c r="B62" s="100" t="s">
        <v>41</v>
      </c>
      <c r="C62" s="22"/>
      <c r="D62" s="22"/>
      <c r="E62" s="22"/>
      <c r="F62" s="101">
        <v>0.13</v>
      </c>
      <c r="G62" s="102"/>
      <c r="H62" s="103">
        <f>H61*F62</f>
        <v>182.871624</v>
      </c>
      <c r="I62" s="104"/>
      <c r="J62" s="105">
        <v>0.13</v>
      </c>
      <c r="K62" s="104"/>
      <c r="L62" s="106">
        <f>L61*J62</f>
        <v>180.21863056985234</v>
      </c>
      <c r="M62" s="107"/>
      <c r="N62" s="108">
        <f t="shared" si="9"/>
        <v>-2.6529934301476601</v>
      </c>
      <c r="O62" s="109">
        <f t="shared" si="11"/>
        <v>-1.4507408925004461E-2</v>
      </c>
      <c r="S62" s="72"/>
    </row>
    <row r="63" spans="2:19" x14ac:dyDescent="0.25">
      <c r="B63" s="110" t="s">
        <v>42</v>
      </c>
      <c r="C63" s="22"/>
      <c r="D63" s="22"/>
      <c r="E63" s="22"/>
      <c r="F63" s="111"/>
      <c r="G63" s="102"/>
      <c r="H63" s="103">
        <f>H61+H62</f>
        <v>1589.5764239999999</v>
      </c>
      <c r="I63" s="104"/>
      <c r="J63" s="104"/>
      <c r="K63" s="104"/>
      <c r="L63" s="106">
        <f>L61+L62</f>
        <v>1566.5157887994858</v>
      </c>
      <c r="M63" s="107"/>
      <c r="N63" s="108">
        <f t="shared" si="9"/>
        <v>-23.060635200514071</v>
      </c>
      <c r="O63" s="109">
        <f t="shared" si="11"/>
        <v>-1.4507408925004333E-2</v>
      </c>
      <c r="S63" s="72"/>
    </row>
    <row r="64" spans="2:19" ht="15.75" customHeight="1" x14ac:dyDescent="0.25">
      <c r="B64" s="240" t="s">
        <v>43</v>
      </c>
      <c r="C64" s="240"/>
      <c r="D64" s="240"/>
      <c r="E64" s="22"/>
      <c r="F64" s="111"/>
      <c r="G64" s="102"/>
      <c r="H64" s="112">
        <f>ROUND(-H63*10%,2)</f>
        <v>-158.96</v>
      </c>
      <c r="I64" s="104"/>
      <c r="J64" s="104"/>
      <c r="K64" s="104"/>
      <c r="L64" s="113">
        <f>ROUND(-L63*10%,2)</f>
        <v>-156.65</v>
      </c>
      <c r="M64" s="107"/>
      <c r="N64" s="114">
        <f t="shared" si="9"/>
        <v>2.3100000000000023</v>
      </c>
      <c r="O64" s="115">
        <f t="shared" si="11"/>
        <v>-1.4531957725213904E-2</v>
      </c>
    </row>
    <row r="65" spans="1:15" ht="15.75" thickBot="1" x14ac:dyDescent="0.3">
      <c r="B65" s="246" t="s">
        <v>44</v>
      </c>
      <c r="C65" s="246"/>
      <c r="D65" s="246"/>
      <c r="E65" s="116"/>
      <c r="F65" s="117"/>
      <c r="G65" s="118"/>
      <c r="H65" s="119">
        <f>H63+H64</f>
        <v>1430.6164239999998</v>
      </c>
      <c r="I65" s="120"/>
      <c r="J65" s="120"/>
      <c r="K65" s="120"/>
      <c r="L65" s="121">
        <f>L63+L64</f>
        <v>1409.8657887994857</v>
      </c>
      <c r="M65" s="122"/>
      <c r="N65" s="123">
        <f t="shared" si="9"/>
        <v>-20.750635200514125</v>
      </c>
      <c r="O65" s="124">
        <f t="shared" si="11"/>
        <v>-1.4504681235586127E-2</v>
      </c>
    </row>
    <row r="66" spans="1:15" s="73" customFormat="1" ht="8.25" customHeight="1" thickBot="1" x14ac:dyDescent="0.25">
      <c r="B66" s="125"/>
      <c r="C66" s="126"/>
      <c r="D66" s="127"/>
      <c r="E66" s="126"/>
      <c r="F66" s="84"/>
      <c r="G66" s="128"/>
      <c r="H66" s="86"/>
      <c r="I66" s="129"/>
      <c r="J66" s="84"/>
      <c r="K66" s="130"/>
      <c r="L66" s="86"/>
      <c r="M66" s="129"/>
      <c r="N66" s="131"/>
      <c r="O66" s="90"/>
    </row>
    <row r="67" spans="1:15" s="73" customFormat="1" ht="12.75" x14ac:dyDescent="0.2">
      <c r="B67" s="132" t="s">
        <v>45</v>
      </c>
      <c r="C67" s="75"/>
      <c r="D67" s="75"/>
      <c r="E67" s="75"/>
      <c r="F67" s="133"/>
      <c r="G67" s="134"/>
      <c r="H67" s="135">
        <f>SUM(H58:H59,H50,H51:H54)</f>
        <v>1483.1048000000003</v>
      </c>
      <c r="I67" s="136"/>
      <c r="J67" s="137"/>
      <c r="K67" s="137"/>
      <c r="L67" s="188">
        <f>SUM(L58:L59,L50,L51:L54)</f>
        <v>1462.6971582296335</v>
      </c>
      <c r="M67" s="138"/>
      <c r="N67" s="139">
        <f>L67-H67</f>
        <v>-20.407641770366808</v>
      </c>
      <c r="O67" s="99">
        <f>IF((H67)=0,"",(N67/H67))</f>
        <v>-1.3760080724144919E-2</v>
      </c>
    </row>
    <row r="68" spans="1:15" s="73" customFormat="1" ht="12.75" x14ac:dyDescent="0.2">
      <c r="B68" s="140" t="s">
        <v>41</v>
      </c>
      <c r="C68" s="75"/>
      <c r="D68" s="75"/>
      <c r="E68" s="75"/>
      <c r="F68" s="141">
        <v>0.13</v>
      </c>
      <c r="G68" s="134"/>
      <c r="H68" s="142">
        <f>H67*F68</f>
        <v>192.80362400000004</v>
      </c>
      <c r="I68" s="143"/>
      <c r="J68" s="144">
        <v>0.13</v>
      </c>
      <c r="K68" s="145"/>
      <c r="L68" s="146">
        <f>L67*J68</f>
        <v>190.15063056985235</v>
      </c>
      <c r="M68" s="147"/>
      <c r="N68" s="148">
        <f>L68-H68</f>
        <v>-2.6529934301476885</v>
      </c>
      <c r="O68" s="109">
        <f>IF((H68)=0,"",(N68/H68))</f>
        <v>-1.3760080724144936E-2</v>
      </c>
    </row>
    <row r="69" spans="1:15" s="73" customFormat="1" ht="12.75" x14ac:dyDescent="0.2">
      <c r="B69" s="149" t="s">
        <v>42</v>
      </c>
      <c r="C69" s="75"/>
      <c r="D69" s="75"/>
      <c r="E69" s="75"/>
      <c r="F69" s="150"/>
      <c r="G69" s="151"/>
      <c r="H69" s="142">
        <f>H67+H68</f>
        <v>1675.9084240000004</v>
      </c>
      <c r="I69" s="143"/>
      <c r="J69" s="143"/>
      <c r="K69" s="143"/>
      <c r="L69" s="146">
        <f>L67+L68</f>
        <v>1652.8477887994859</v>
      </c>
      <c r="M69" s="147"/>
      <c r="N69" s="148">
        <f>L69-H69</f>
        <v>-23.060635200514525</v>
      </c>
      <c r="O69" s="109">
        <f>IF((H69)=0,"",(N69/H69))</f>
        <v>-1.3760080724144936E-2</v>
      </c>
    </row>
    <row r="70" spans="1:15" s="73" customFormat="1" ht="15.75" customHeight="1" x14ac:dyDescent="0.2">
      <c r="B70" s="241" t="s">
        <v>43</v>
      </c>
      <c r="C70" s="241"/>
      <c r="D70" s="241"/>
      <c r="E70" s="75"/>
      <c r="F70" s="150"/>
      <c r="G70" s="151"/>
      <c r="H70" s="152">
        <f>ROUND(-H69*10%,2)</f>
        <v>-167.59</v>
      </c>
      <c r="I70" s="143"/>
      <c r="J70" s="143"/>
      <c r="K70" s="143"/>
      <c r="L70" s="153">
        <f>ROUND(-L69*10%,2)</f>
        <v>-165.28</v>
      </c>
      <c r="M70" s="147"/>
      <c r="N70" s="154">
        <f>L70-H70</f>
        <v>2.3100000000000023</v>
      </c>
      <c r="O70" s="115">
        <f>IF((H70)=0,"",(N70/H70))</f>
        <v>-1.3783638641923756E-2</v>
      </c>
    </row>
    <row r="71" spans="1:15" s="73" customFormat="1" ht="13.5" thickBot="1" x14ac:dyDescent="0.25">
      <c r="B71" s="233" t="s">
        <v>46</v>
      </c>
      <c r="C71" s="233"/>
      <c r="D71" s="233"/>
      <c r="E71" s="155"/>
      <c r="F71" s="156"/>
      <c r="G71" s="157"/>
      <c r="H71" s="158">
        <f>SUM(H69:H70)</f>
        <v>1508.3184240000005</v>
      </c>
      <c r="I71" s="159"/>
      <c r="J71" s="159"/>
      <c r="K71" s="159"/>
      <c r="L71" s="160">
        <f>SUM(L69:L70)</f>
        <v>1487.5677887994859</v>
      </c>
      <c r="M71" s="161"/>
      <c r="N71" s="162">
        <f>L71-H71</f>
        <v>-20.75063520051458</v>
      </c>
      <c r="O71" s="163">
        <f>IF((H71)=0,"",(N71/H71))</f>
        <v>-1.3757463192344175E-2</v>
      </c>
    </row>
    <row r="72" spans="1:15" s="73" customFormat="1" ht="8.25" customHeight="1" thickBot="1" x14ac:dyDescent="0.25">
      <c r="B72" s="125"/>
      <c r="C72" s="126"/>
      <c r="D72" s="127"/>
      <c r="E72" s="126"/>
      <c r="F72" s="164"/>
      <c r="G72" s="165"/>
      <c r="H72" s="166"/>
      <c r="I72" s="167"/>
      <c r="J72" s="164"/>
      <c r="K72" s="128"/>
      <c r="L72" s="168"/>
      <c r="M72" s="129"/>
      <c r="N72" s="169"/>
      <c r="O72" s="90"/>
    </row>
    <row r="73" spans="1:15" ht="10.5" customHeight="1" x14ac:dyDescent="0.25">
      <c r="L73" s="72"/>
    </row>
    <row r="74" spans="1:15" x14ac:dyDescent="0.25">
      <c r="B74" s="13" t="s">
        <v>47</v>
      </c>
      <c r="F74" s="170">
        <v>4.8000000000000001E-2</v>
      </c>
      <c r="J74" s="170">
        <f>'Res (100kWh)'!$J$74</f>
        <v>4.7100000000000003E-2</v>
      </c>
    </row>
    <row r="75" spans="1:15" ht="10.5" customHeight="1" x14ac:dyDescent="0.25"/>
    <row r="76" spans="1:15" x14ac:dyDescent="0.25">
      <c r="A76" s="171" t="s">
        <v>48</v>
      </c>
    </row>
    <row r="77" spans="1:15" ht="10.5" customHeight="1" x14ac:dyDescent="0.25"/>
    <row r="78" spans="1:15" x14ac:dyDescent="0.25">
      <c r="A78" s="7" t="s">
        <v>49</v>
      </c>
    </row>
    <row r="79" spans="1:15" x14ac:dyDescent="0.25">
      <c r="A79" s="7" t="s">
        <v>50</v>
      </c>
    </row>
    <row r="81" spans="1:2" x14ac:dyDescent="0.25">
      <c r="A81" s="12" t="s">
        <v>51</v>
      </c>
    </row>
    <row r="82" spans="1:2" x14ac:dyDescent="0.25">
      <c r="A82" s="12" t="s">
        <v>52</v>
      </c>
    </row>
    <row r="84" spans="1:2" x14ac:dyDescent="0.25">
      <c r="A84" s="7" t="s">
        <v>53</v>
      </c>
    </row>
    <row r="85" spans="1:2" x14ac:dyDescent="0.25">
      <c r="A85" s="7" t="s">
        <v>54</v>
      </c>
    </row>
    <row r="86" spans="1:2" x14ac:dyDescent="0.25">
      <c r="A86" s="7" t="s">
        <v>55</v>
      </c>
    </row>
    <row r="87" spans="1:2" x14ac:dyDescent="0.25">
      <c r="A87" s="7" t="s">
        <v>56</v>
      </c>
    </row>
    <row r="88" spans="1:2" x14ac:dyDescent="0.25">
      <c r="A88" s="7" t="s">
        <v>57</v>
      </c>
    </row>
    <row r="90" spans="1:2" x14ac:dyDescent="0.25">
      <c r="A90" s="172"/>
      <c r="B90" s="7" t="s">
        <v>58</v>
      </c>
    </row>
  </sheetData>
  <mergeCells count="17">
    <mergeCell ref="B64:D64"/>
    <mergeCell ref="B65:D65"/>
    <mergeCell ref="B70:D70"/>
    <mergeCell ref="B71:D71"/>
    <mergeCell ref="B9:O9"/>
    <mergeCell ref="D12:O12"/>
    <mergeCell ref="F18:H18"/>
    <mergeCell ref="J18:L18"/>
    <mergeCell ref="N18:O18"/>
    <mergeCell ref="D19:D20"/>
    <mergeCell ref="N19:N20"/>
    <mergeCell ref="O19:O20"/>
    <mergeCell ref="B8:O8"/>
    <mergeCell ref="N1:O1"/>
    <mergeCell ref="N2:O2"/>
    <mergeCell ref="N3:O3"/>
    <mergeCell ref="N5:O5"/>
  </mergeCells>
  <dataValidations count="4">
    <dataValidation type="list" allowBlank="1" showInputMessage="1" showErrorMessage="1" sqref="D14">
      <formula1>"TOU, non-TOU"</formula1>
    </dataValidation>
    <dataValidation type="list" allowBlank="1" showInputMessage="1" showErrorMessage="1" sqref="E72 E66 E48:E49 E51:E60 E39:E46 E21:E24 E26:E37">
      <formula1>#REF!</formula1>
    </dataValidation>
    <dataValidation type="list" allowBlank="1" showInputMessage="1" showErrorMessage="1" prompt="Select Charge Unit - monthly, per kWh, per kW" sqref="D48:D49 D66 D72 D51:D60 D39:D46 D21:D37">
      <formula1>"Monthly, per kWh, per kW"</formula1>
    </dataValidation>
    <dataValidation type="list" allowBlank="1" showInputMessage="1" showErrorMessage="1" sqref="E25">
      <formula1>#REF!</formula1>
    </dataValidation>
  </dataValidations>
  <pageMargins left="0.7" right="0.7" top="0.75" bottom="0.75" header="0.3" footer="0.3"/>
  <pageSetup scale="59" fitToHeight="0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>
    <tabColor theme="0" tint="-0.14999847407452621"/>
    <pageSetUpPr fitToPage="1"/>
  </sheetPr>
  <dimension ref="A1:T90"/>
  <sheetViews>
    <sheetView showGridLines="0" topLeftCell="B10" workbookViewId="0">
      <selection activeCell="L1" sqref="L1:O5"/>
    </sheetView>
  </sheetViews>
  <sheetFormatPr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8.5703125" style="7" customWidth="1"/>
    <col min="8" max="8" width="11.28515625" style="7" customWidth="1"/>
    <col min="9" max="9" width="2.85546875" style="7" customWidth="1"/>
    <col min="10" max="10" width="12.140625" style="7" customWidth="1"/>
    <col min="11" max="11" width="8.5703125" style="7" customWidth="1"/>
    <col min="12" max="12" width="10.28515625" style="7" customWidth="1"/>
    <col min="13" max="13" width="2.85546875" style="7" customWidth="1"/>
    <col min="14" max="14" width="12.7109375" style="7" bestFit="1" customWidth="1"/>
    <col min="15" max="15" width="10.85546875" style="7" bestFit="1" customWidth="1"/>
    <col min="16" max="16" width="9.710937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248" t="str">
        <f>'Res (100kWh)'!$N$1:$O$1</f>
        <v>EB-2014-0099</v>
      </c>
      <c r="O1" s="248"/>
      <c r="P1" s="190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94</v>
      </c>
      <c r="N2" s="249">
        <f>'Res (100kWh)'!$N$2:$O$2</f>
        <v>8</v>
      </c>
      <c r="O2" s="249"/>
      <c r="P2" s="191"/>
    </row>
    <row r="3" spans="1:20" s="2" customFormat="1" ht="15" customHeight="1" x14ac:dyDescent="0.25">
      <c r="C3" s="6"/>
      <c r="D3" s="6"/>
      <c r="E3" s="6"/>
      <c r="L3" s="3" t="s">
        <v>95</v>
      </c>
      <c r="N3" s="248" t="str">
        <f>'Res (100kWh)'!$N$3:$O$3</f>
        <v>8-B</v>
      </c>
      <c r="O3" s="248"/>
      <c r="P3" s="190"/>
    </row>
    <row r="4" spans="1:20" s="2" customFormat="1" ht="9" customHeight="1" x14ac:dyDescent="0.25">
      <c r="L4" s="3"/>
      <c r="N4" s="232"/>
      <c r="O4"/>
      <c r="P4" s="192"/>
    </row>
    <row r="5" spans="1:20" s="2" customFormat="1" x14ac:dyDescent="0.25">
      <c r="L5" s="3" t="s">
        <v>75</v>
      </c>
      <c r="N5" s="248">
        <f>'Res (100kWh)'!$N$5:$O$5</f>
        <v>42118</v>
      </c>
      <c r="O5" s="248"/>
      <c r="P5" s="193"/>
    </row>
    <row r="6" spans="1:20" s="2" customFormat="1" ht="15" customHeight="1" x14ac:dyDescent="0.25">
      <c r="N6" s="7"/>
      <c r="O6"/>
      <c r="P6"/>
    </row>
    <row r="7" spans="1:20" ht="7.5" customHeight="1" x14ac:dyDescent="0.25">
      <c r="L7"/>
      <c r="M7"/>
      <c r="N7"/>
      <c r="O7"/>
      <c r="P7"/>
    </row>
    <row r="8" spans="1:20" ht="18.75" customHeight="1" x14ac:dyDescent="0.25">
      <c r="B8" s="247" t="s">
        <v>1</v>
      </c>
      <c r="C8" s="247"/>
      <c r="D8" s="247"/>
      <c r="E8" s="247"/>
      <c r="F8" s="247"/>
      <c r="G8" s="247"/>
      <c r="H8" s="247"/>
      <c r="I8" s="247"/>
      <c r="J8" s="247"/>
      <c r="K8" s="247"/>
      <c r="L8" s="247"/>
      <c r="M8" s="247"/>
      <c r="N8" s="247"/>
      <c r="O8" s="247"/>
      <c r="P8"/>
    </row>
    <row r="9" spans="1:20" ht="18.75" customHeight="1" x14ac:dyDescent="0.25">
      <c r="B9" s="247" t="s">
        <v>2</v>
      </c>
      <c r="C9" s="247"/>
      <c r="D9" s="247"/>
      <c r="E9" s="247"/>
      <c r="F9" s="247"/>
      <c r="G9" s="247"/>
      <c r="H9" s="247"/>
      <c r="I9" s="247"/>
      <c r="J9" s="247"/>
      <c r="K9" s="247"/>
      <c r="L9" s="247"/>
      <c r="M9" s="247"/>
      <c r="N9" s="247"/>
      <c r="O9" s="247"/>
      <c r="P9"/>
    </row>
    <row r="10" spans="1:20" ht="7.5" customHeight="1" x14ac:dyDescent="0.25">
      <c r="L10"/>
      <c r="M10"/>
      <c r="N10"/>
      <c r="O10"/>
      <c r="P10"/>
    </row>
    <row r="11" spans="1:20" ht="7.5" customHeight="1" x14ac:dyDescent="0.25">
      <c r="L11"/>
      <c r="M11"/>
      <c r="N11"/>
      <c r="O11"/>
      <c r="P11"/>
    </row>
    <row r="12" spans="1:20" ht="15.75" x14ac:dyDescent="0.25">
      <c r="B12" s="8" t="s">
        <v>3</v>
      </c>
      <c r="D12" s="242" t="s">
        <v>67</v>
      </c>
      <c r="E12" s="242"/>
      <c r="F12" s="242"/>
      <c r="G12" s="242"/>
      <c r="H12" s="242"/>
      <c r="I12" s="242"/>
      <c r="J12" s="242"/>
      <c r="K12" s="242"/>
      <c r="L12" s="242"/>
      <c r="M12" s="242"/>
      <c r="N12" s="242"/>
      <c r="O12" s="242"/>
    </row>
    <row r="13" spans="1:20" ht="7.5" customHeight="1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5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x14ac:dyDescent="0.25">
      <c r="B16" s="12"/>
      <c r="D16" s="13" t="s">
        <v>6</v>
      </c>
      <c r="E16" s="13"/>
      <c r="F16" s="14">
        <v>15000</v>
      </c>
      <c r="G16" s="13" t="s">
        <v>7</v>
      </c>
    </row>
    <row r="17" spans="2:15" x14ac:dyDescent="0.25">
      <c r="B17" s="12"/>
    </row>
    <row r="18" spans="2:15" x14ac:dyDescent="0.25">
      <c r="B18" s="12"/>
      <c r="D18" s="15"/>
      <c r="E18" s="15"/>
      <c r="F18" s="243" t="s">
        <v>8</v>
      </c>
      <c r="G18" s="244"/>
      <c r="H18" s="245"/>
      <c r="J18" s="243" t="s">
        <v>9</v>
      </c>
      <c r="K18" s="244"/>
      <c r="L18" s="245"/>
      <c r="N18" s="243" t="s">
        <v>10</v>
      </c>
      <c r="O18" s="245"/>
    </row>
    <row r="19" spans="2:15" x14ac:dyDescent="0.25">
      <c r="B19" s="12"/>
      <c r="D19" s="234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236" t="s">
        <v>15</v>
      </c>
      <c r="O19" s="238" t="s">
        <v>16</v>
      </c>
    </row>
    <row r="20" spans="2:15" x14ac:dyDescent="0.25">
      <c r="B20" s="12"/>
      <c r="D20" s="235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237"/>
      <c r="O20" s="239"/>
    </row>
    <row r="21" spans="2:15" ht="22.5" customHeight="1" x14ac:dyDescent="0.25">
      <c r="B21" s="22" t="s">
        <v>18</v>
      </c>
      <c r="C21" s="22"/>
      <c r="D21" s="23" t="s">
        <v>60</v>
      </c>
      <c r="E21" s="24"/>
      <c r="F21" s="174">
        <f>'[2]2014 Existing Rates'!$C$7</f>
        <v>21.69</v>
      </c>
      <c r="G21" s="26">
        <v>1</v>
      </c>
      <c r="H21" s="27">
        <f>G21*F21</f>
        <v>21.69</v>
      </c>
      <c r="I21" s="28"/>
      <c r="J21" s="173">
        <f>'[2]Rate Schedule '!$E$16</f>
        <v>24.79</v>
      </c>
      <c r="K21" s="30">
        <v>1</v>
      </c>
      <c r="L21" s="27">
        <f>K21*J21</f>
        <v>24.79</v>
      </c>
      <c r="M21" s="28"/>
      <c r="N21" s="31">
        <f>L21-H21</f>
        <v>3.0999999999999979</v>
      </c>
      <c r="O21" s="32">
        <f>IF((H21)=0,"",(N21/H21))</f>
        <v>0.14292300599354529</v>
      </c>
    </row>
    <row r="22" spans="2:15" ht="36.75" customHeight="1" x14ac:dyDescent="0.25">
      <c r="B22" s="65" t="s">
        <v>80</v>
      </c>
      <c r="C22" s="22"/>
      <c r="D22" s="56" t="s">
        <v>60</v>
      </c>
      <c r="E22" s="24"/>
      <c r="F22" s="173">
        <v>7.85</v>
      </c>
      <c r="G22" s="26">
        <v>1</v>
      </c>
      <c r="H22" s="27">
        <f t="shared" ref="H22:H37" si="0">G22*F22</f>
        <v>7.85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-7.85</v>
      </c>
      <c r="O22" s="32">
        <f>IF((H22)=0,"",(N22/H22))</f>
        <v>-1</v>
      </c>
    </row>
    <row r="23" spans="2:15" ht="36.75" customHeight="1" x14ac:dyDescent="0.25">
      <c r="B23" s="175" t="s">
        <v>63</v>
      </c>
      <c r="C23" s="22"/>
      <c r="D23" s="56" t="s">
        <v>60</v>
      </c>
      <c r="E23" s="57"/>
      <c r="F23" s="173">
        <v>3.2</v>
      </c>
      <c r="G23" s="26">
        <v>1</v>
      </c>
      <c r="H23" s="27">
        <f t="shared" si="0"/>
        <v>3.2</v>
      </c>
      <c r="I23" s="28"/>
      <c r="J23" s="29"/>
      <c r="K23" s="30">
        <v>1</v>
      </c>
      <c r="L23" s="27">
        <f t="shared" ref="L23:L37" si="1">K23*J23</f>
        <v>0</v>
      </c>
      <c r="M23" s="28"/>
      <c r="N23" s="31">
        <f t="shared" ref="N23:N38" si="2">L23-H23</f>
        <v>-3.2</v>
      </c>
      <c r="O23" s="32">
        <f t="shared" ref="O23:O38" si="3">IF((H23)=0,"",(N23/H23))</f>
        <v>-1</v>
      </c>
    </row>
    <row r="24" spans="2:15" x14ac:dyDescent="0.25">
      <c r="B24" s="175" t="s">
        <v>64</v>
      </c>
      <c r="C24" s="22"/>
      <c r="D24" s="23" t="s">
        <v>60</v>
      </c>
      <c r="E24" s="24"/>
      <c r="F24" s="25"/>
      <c r="G24" s="26">
        <v>1</v>
      </c>
      <c r="H24" s="27">
        <f t="shared" si="0"/>
        <v>0</v>
      </c>
      <c r="I24" s="28"/>
      <c r="J24" s="173">
        <f>'[3]Stranded Meter Calc'!$B$108</f>
        <v>1.92</v>
      </c>
      <c r="K24" s="30">
        <v>1</v>
      </c>
      <c r="L24" s="27">
        <f t="shared" si="1"/>
        <v>1.92</v>
      </c>
      <c r="M24" s="28"/>
      <c r="N24" s="31">
        <f t="shared" si="2"/>
        <v>1.92</v>
      </c>
      <c r="O24" s="32" t="str">
        <f t="shared" si="3"/>
        <v/>
      </c>
    </row>
    <row r="25" spans="2:15" x14ac:dyDescent="0.25">
      <c r="B25" s="175" t="s">
        <v>88</v>
      </c>
      <c r="C25" s="22"/>
      <c r="D25" s="23" t="s">
        <v>61</v>
      </c>
      <c r="E25" s="24"/>
      <c r="F25" s="25">
        <v>0</v>
      </c>
      <c r="G25" s="26">
        <f t="shared" ref="G25" si="4">$F$16</f>
        <v>15000</v>
      </c>
      <c r="H25" s="27">
        <f t="shared" si="0"/>
        <v>0</v>
      </c>
      <c r="I25" s="28"/>
      <c r="J25" s="29">
        <f>'[4]6. Rate Rider Calculations'!$F$104</f>
        <v>9.0291109723667786E-4</v>
      </c>
      <c r="K25" s="26">
        <f>$F$16</f>
        <v>15000</v>
      </c>
      <c r="L25" s="27">
        <f t="shared" si="1"/>
        <v>13.543666458550168</v>
      </c>
      <c r="M25" s="28"/>
      <c r="N25" s="31">
        <f t="shared" si="2"/>
        <v>13.543666458550168</v>
      </c>
      <c r="O25" s="32" t="str">
        <f t="shared" si="3"/>
        <v/>
      </c>
    </row>
    <row r="26" spans="2:15" x14ac:dyDescent="0.25">
      <c r="B26" s="46" t="s">
        <v>65</v>
      </c>
      <c r="C26" s="22"/>
      <c r="D26" s="23" t="s">
        <v>61</v>
      </c>
      <c r="E26" s="24"/>
      <c r="F26" s="25">
        <v>-2.0000000000000001E-4</v>
      </c>
      <c r="G26" s="26">
        <f>$F$16</f>
        <v>15000</v>
      </c>
      <c r="H26" s="27">
        <f t="shared" si="0"/>
        <v>-3</v>
      </c>
      <c r="I26" s="28"/>
      <c r="J26" s="173"/>
      <c r="K26" s="26">
        <f>$F$16</f>
        <v>15000</v>
      </c>
      <c r="L26" s="27">
        <f t="shared" si="1"/>
        <v>0</v>
      </c>
      <c r="M26" s="28"/>
      <c r="N26" s="31">
        <f t="shared" si="2"/>
        <v>3</v>
      </c>
      <c r="O26" s="32">
        <f t="shared" si="3"/>
        <v>-1</v>
      </c>
    </row>
    <row r="27" spans="2:15" x14ac:dyDescent="0.25">
      <c r="B27" s="46" t="s">
        <v>66</v>
      </c>
      <c r="C27" s="22"/>
      <c r="D27" s="23" t="s">
        <v>61</v>
      </c>
      <c r="E27" s="24"/>
      <c r="F27" s="25"/>
      <c r="G27" s="26">
        <f>$F$16</f>
        <v>15000</v>
      </c>
      <c r="H27" s="27">
        <f t="shared" si="0"/>
        <v>0</v>
      </c>
      <c r="I27" s="28"/>
      <c r="J27" s="29">
        <f>'[4]6. Rate Rider Calculations'!$F$76</f>
        <v>-7.1014119500589033E-3</v>
      </c>
      <c r="K27" s="26">
        <f>$F$16</f>
        <v>15000</v>
      </c>
      <c r="L27" s="27">
        <f t="shared" si="1"/>
        <v>-106.52117925088355</v>
      </c>
      <c r="M27" s="28"/>
      <c r="N27" s="31">
        <f t="shared" si="2"/>
        <v>-106.52117925088355</v>
      </c>
      <c r="O27" s="32" t="str">
        <f t="shared" si="3"/>
        <v/>
      </c>
    </row>
    <row r="28" spans="2:15" x14ac:dyDescent="0.25">
      <c r="B28" s="22" t="s">
        <v>19</v>
      </c>
      <c r="C28" s="22"/>
      <c r="D28" s="23" t="s">
        <v>61</v>
      </c>
      <c r="E28" s="24"/>
      <c r="F28" s="25">
        <f>'[2]2014 Existing Rates'!$E$7</f>
        <v>1.67E-2</v>
      </c>
      <c r="G28" s="26">
        <f>$F$16</f>
        <v>15000</v>
      </c>
      <c r="H28" s="27">
        <f t="shared" si="0"/>
        <v>250.5</v>
      </c>
      <c r="I28" s="28"/>
      <c r="J28" s="29">
        <f>'[2]Rate Schedule '!$E$17</f>
        <v>1.9099999999999999E-2</v>
      </c>
      <c r="K28" s="26">
        <f>$F$16</f>
        <v>15000</v>
      </c>
      <c r="L28" s="27">
        <f t="shared" si="1"/>
        <v>286.5</v>
      </c>
      <c r="M28" s="28"/>
      <c r="N28" s="31">
        <f t="shared" si="2"/>
        <v>36</v>
      </c>
      <c r="O28" s="32">
        <f t="shared" si="3"/>
        <v>0.1437125748502994</v>
      </c>
    </row>
    <row r="29" spans="2:15" hidden="1" x14ac:dyDescent="0.25">
      <c r="B29" s="22" t="s">
        <v>20</v>
      </c>
      <c r="C29" s="22"/>
      <c r="D29" s="23"/>
      <c r="E29" s="24"/>
      <c r="F29" s="25"/>
      <c r="G29" s="26">
        <f>$F$16</f>
        <v>15000</v>
      </c>
      <c r="H29" s="27">
        <f t="shared" si="0"/>
        <v>0</v>
      </c>
      <c r="I29" s="28"/>
      <c r="J29" s="29"/>
      <c r="K29" s="26">
        <f t="shared" ref="K29:K37" si="5">$F$16</f>
        <v>15000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idden="1" x14ac:dyDescent="0.25">
      <c r="B30" s="22" t="s">
        <v>21</v>
      </c>
      <c r="C30" s="22"/>
      <c r="D30" s="23"/>
      <c r="E30" s="24"/>
      <c r="F30" s="25"/>
      <c r="G30" s="26">
        <f>$F$16</f>
        <v>15000</v>
      </c>
      <c r="H30" s="27">
        <f t="shared" si="0"/>
        <v>0</v>
      </c>
      <c r="I30" s="28"/>
      <c r="J30" s="29"/>
      <c r="K30" s="26">
        <f t="shared" si="5"/>
        <v>15000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idden="1" x14ac:dyDescent="0.25">
      <c r="B31" s="33"/>
      <c r="C31" s="22"/>
      <c r="D31" s="23"/>
      <c r="E31" s="24"/>
      <c r="F31" s="25"/>
      <c r="G31" s="26">
        <f t="shared" ref="G31:G37" si="6">$F$16</f>
        <v>15000</v>
      </c>
      <c r="H31" s="27">
        <f t="shared" si="0"/>
        <v>0</v>
      </c>
      <c r="I31" s="28"/>
      <c r="J31" s="29"/>
      <c r="K31" s="26">
        <f t="shared" si="5"/>
        <v>15000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idden="1" x14ac:dyDescent="0.25">
      <c r="B32" s="33"/>
      <c r="C32" s="22"/>
      <c r="D32" s="23"/>
      <c r="E32" s="24"/>
      <c r="F32" s="25"/>
      <c r="G32" s="26">
        <f t="shared" si="6"/>
        <v>15000</v>
      </c>
      <c r="H32" s="27">
        <f t="shared" si="0"/>
        <v>0</v>
      </c>
      <c r="I32" s="28"/>
      <c r="J32" s="29"/>
      <c r="K32" s="26">
        <f t="shared" si="5"/>
        <v>15000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idden="1" x14ac:dyDescent="0.25">
      <c r="B33" s="33"/>
      <c r="C33" s="22"/>
      <c r="D33" s="23"/>
      <c r="E33" s="24"/>
      <c r="F33" s="25"/>
      <c r="G33" s="26">
        <f t="shared" si="6"/>
        <v>15000</v>
      </c>
      <c r="H33" s="27">
        <f t="shared" si="0"/>
        <v>0</v>
      </c>
      <c r="I33" s="28"/>
      <c r="J33" s="29"/>
      <c r="K33" s="26">
        <f t="shared" si="5"/>
        <v>15000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idden="1" x14ac:dyDescent="0.25">
      <c r="B34" s="33"/>
      <c r="C34" s="22"/>
      <c r="D34" s="23"/>
      <c r="E34" s="24"/>
      <c r="F34" s="25"/>
      <c r="G34" s="26">
        <f t="shared" si="6"/>
        <v>15000</v>
      </c>
      <c r="H34" s="27">
        <f t="shared" si="0"/>
        <v>0</v>
      </c>
      <c r="I34" s="28"/>
      <c r="J34" s="29"/>
      <c r="K34" s="26">
        <f t="shared" si="5"/>
        <v>15000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idden="1" x14ac:dyDescent="0.25">
      <c r="B35" s="33"/>
      <c r="C35" s="22"/>
      <c r="D35" s="23"/>
      <c r="E35" s="24"/>
      <c r="F35" s="25"/>
      <c r="G35" s="26">
        <f t="shared" si="6"/>
        <v>15000</v>
      </c>
      <c r="H35" s="27">
        <f t="shared" si="0"/>
        <v>0</v>
      </c>
      <c r="I35" s="28"/>
      <c r="J35" s="29"/>
      <c r="K35" s="26">
        <f t="shared" si="5"/>
        <v>15000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idden="1" x14ac:dyDescent="0.25">
      <c r="B36" s="33"/>
      <c r="C36" s="22"/>
      <c r="D36" s="23"/>
      <c r="E36" s="24"/>
      <c r="F36" s="25"/>
      <c r="G36" s="26">
        <f t="shared" si="6"/>
        <v>15000</v>
      </c>
      <c r="H36" s="27">
        <f t="shared" si="0"/>
        <v>0</v>
      </c>
      <c r="I36" s="28"/>
      <c r="J36" s="29"/>
      <c r="K36" s="26">
        <f t="shared" si="5"/>
        <v>15000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hidden="1" x14ac:dyDescent="0.25">
      <c r="B37" s="33"/>
      <c r="C37" s="22"/>
      <c r="D37" s="23"/>
      <c r="E37" s="24"/>
      <c r="F37" s="25"/>
      <c r="G37" s="26">
        <f t="shared" si="6"/>
        <v>15000</v>
      </c>
      <c r="H37" s="27">
        <f t="shared" si="0"/>
        <v>0</v>
      </c>
      <c r="I37" s="28"/>
      <c r="J37" s="29"/>
      <c r="K37" s="26">
        <f t="shared" si="5"/>
        <v>15000</v>
      </c>
      <c r="L37" s="27">
        <f t="shared" si="1"/>
        <v>0</v>
      </c>
      <c r="M37" s="28"/>
      <c r="N37" s="31">
        <f t="shared" si="2"/>
        <v>0</v>
      </c>
      <c r="O37" s="32" t="str">
        <f t="shared" si="3"/>
        <v/>
      </c>
    </row>
    <row r="38" spans="2:15" s="34" customFormat="1" x14ac:dyDescent="0.25">
      <c r="B38" s="35" t="s">
        <v>22</v>
      </c>
      <c r="C38" s="36"/>
      <c r="D38" s="37"/>
      <c r="E38" s="36"/>
      <c r="F38" s="38"/>
      <c r="G38" s="39"/>
      <c r="H38" s="40">
        <f>SUM(H21:H37)</f>
        <v>280.24</v>
      </c>
      <c r="I38" s="41"/>
      <c r="J38" s="42"/>
      <c r="K38" s="43"/>
      <c r="L38" s="40">
        <f>SUM(L21:L37)</f>
        <v>220.23248720766662</v>
      </c>
      <c r="M38" s="41"/>
      <c r="N38" s="44">
        <f t="shared" si="2"/>
        <v>-60.007512792333387</v>
      </c>
      <c r="O38" s="45">
        <f t="shared" si="3"/>
        <v>-0.21412900653844341</v>
      </c>
    </row>
    <row r="39" spans="2:15" hidden="1" x14ac:dyDescent="0.25">
      <c r="B39" s="175"/>
      <c r="C39" s="22"/>
      <c r="D39" s="56" t="s">
        <v>60</v>
      </c>
      <c r="E39" s="24"/>
      <c r="F39" s="25"/>
      <c r="G39" s="26">
        <v>1</v>
      </c>
      <c r="H39" s="27">
        <f>G39*F39</f>
        <v>0</v>
      </c>
      <c r="I39" s="28"/>
      <c r="J39" s="173"/>
      <c r="K39" s="30">
        <v>1</v>
      </c>
      <c r="L39" s="27">
        <f>K39*J39</f>
        <v>0</v>
      </c>
      <c r="M39" s="28"/>
      <c r="N39" s="31">
        <f>L39-H39</f>
        <v>0</v>
      </c>
      <c r="O39" s="32" t="str">
        <f>IF((H39)=0,"",(N39/H39))</f>
        <v/>
      </c>
    </row>
    <row r="40" spans="2:15" x14ac:dyDescent="0.25">
      <c r="B40" s="46" t="s">
        <v>23</v>
      </c>
      <c r="C40" s="22"/>
      <c r="D40" s="56" t="s">
        <v>61</v>
      </c>
      <c r="E40" s="57"/>
      <c r="F40" s="29">
        <v>-1.8E-3</v>
      </c>
      <c r="G40" s="26">
        <f>$F$16</f>
        <v>15000</v>
      </c>
      <c r="H40" s="27">
        <f t="shared" ref="H40:H46" si="7">G40*F40</f>
        <v>-27</v>
      </c>
      <c r="I40" s="28"/>
      <c r="J40" s="29">
        <f>'[4]6. Rate Rider Calculations'!$F$21</f>
        <v>1.2383652246340647E-4</v>
      </c>
      <c r="K40" s="26">
        <f>$F$16</f>
        <v>15000</v>
      </c>
      <c r="L40" s="27">
        <f t="shared" ref="L40:L46" si="8">K40*J40</f>
        <v>1.8575478369510969</v>
      </c>
      <c r="M40" s="28"/>
      <c r="N40" s="31">
        <f t="shared" ref="N40:N65" si="9">L40-H40</f>
        <v>28.857547836951095</v>
      </c>
      <c r="O40" s="32">
        <f t="shared" ref="O40:O45" si="10">IF((H40)=0,"",(N40/H40))</f>
        <v>-1.0687980680352258</v>
      </c>
    </row>
    <row r="41" spans="2:15" hidden="1" x14ac:dyDescent="0.25">
      <c r="B41" s="46"/>
      <c r="C41" s="22"/>
      <c r="D41" s="23" t="s">
        <v>61</v>
      </c>
      <c r="E41" s="24"/>
      <c r="F41" s="25"/>
      <c r="G41" s="26">
        <f>$F$16</f>
        <v>15000</v>
      </c>
      <c r="H41" s="27">
        <f t="shared" si="7"/>
        <v>0</v>
      </c>
      <c r="I41" s="47"/>
      <c r="J41" s="29"/>
      <c r="K41" s="26">
        <f>$F$16</f>
        <v>15000</v>
      </c>
      <c r="L41" s="27">
        <f t="shared" si="8"/>
        <v>0</v>
      </c>
      <c r="M41" s="48"/>
      <c r="N41" s="31">
        <f t="shared" si="9"/>
        <v>0</v>
      </c>
      <c r="O41" s="32" t="str">
        <f t="shared" si="10"/>
        <v/>
      </c>
    </row>
    <row r="42" spans="2:15" hidden="1" x14ac:dyDescent="0.25">
      <c r="B42" s="46"/>
      <c r="C42" s="22"/>
      <c r="D42" s="23" t="s">
        <v>61</v>
      </c>
      <c r="E42" s="24"/>
      <c r="F42" s="25"/>
      <c r="G42" s="26">
        <f>$F$16</f>
        <v>15000</v>
      </c>
      <c r="H42" s="27">
        <f t="shared" si="7"/>
        <v>0</v>
      </c>
      <c r="I42" s="47"/>
      <c r="J42" s="29"/>
      <c r="K42" s="26">
        <f>$F$16</f>
        <v>15000</v>
      </c>
      <c r="L42" s="27">
        <f t="shared" si="8"/>
        <v>0</v>
      </c>
      <c r="M42" s="48"/>
      <c r="N42" s="31">
        <f t="shared" si="9"/>
        <v>0</v>
      </c>
      <c r="O42" s="32" t="str">
        <f t="shared" si="10"/>
        <v/>
      </c>
    </row>
    <row r="43" spans="2:15" hidden="1" x14ac:dyDescent="0.25">
      <c r="B43" s="46"/>
      <c r="C43" s="22"/>
      <c r="D43" s="23"/>
      <c r="E43" s="24"/>
      <c r="F43" s="25"/>
      <c r="G43" s="26">
        <f>$F$16</f>
        <v>15000</v>
      </c>
      <c r="H43" s="27">
        <f t="shared" si="7"/>
        <v>0</v>
      </c>
      <c r="I43" s="47"/>
      <c r="J43" s="29"/>
      <c r="K43" s="26">
        <f>$F$16</f>
        <v>15000</v>
      </c>
      <c r="L43" s="27">
        <f t="shared" si="8"/>
        <v>0</v>
      </c>
      <c r="M43" s="48"/>
      <c r="N43" s="31">
        <f t="shared" si="9"/>
        <v>0</v>
      </c>
      <c r="O43" s="32" t="str">
        <f t="shared" si="10"/>
        <v/>
      </c>
    </row>
    <row r="44" spans="2:15" x14ac:dyDescent="0.25">
      <c r="B44" s="49" t="s">
        <v>24</v>
      </c>
      <c r="C44" s="22"/>
      <c r="D44" s="23" t="s">
        <v>61</v>
      </c>
      <c r="E44" s="24"/>
      <c r="F44" s="195">
        <v>4.0000000000000003E-5</v>
      </c>
      <c r="G44" s="26">
        <f>$F$16</f>
        <v>15000</v>
      </c>
      <c r="H44" s="27">
        <f t="shared" si="7"/>
        <v>0.60000000000000009</v>
      </c>
      <c r="I44" s="28"/>
      <c r="J44" s="196">
        <f>'[2]Rate Schedule '!$E$18</f>
        <v>6.9999999999999994E-5</v>
      </c>
      <c r="K44" s="26">
        <f>$F$16</f>
        <v>15000</v>
      </c>
      <c r="L44" s="27">
        <f t="shared" si="8"/>
        <v>1.0499999999999998</v>
      </c>
      <c r="M44" s="28"/>
      <c r="N44" s="31">
        <f t="shared" si="9"/>
        <v>0.44999999999999973</v>
      </c>
      <c r="O44" s="32">
        <f t="shared" si="10"/>
        <v>0.74999999999999944</v>
      </c>
    </row>
    <row r="45" spans="2:15" s="34" customFormat="1" x14ac:dyDescent="0.25">
      <c r="B45" s="180" t="s">
        <v>25</v>
      </c>
      <c r="C45" s="24"/>
      <c r="D45" s="181" t="s">
        <v>61</v>
      </c>
      <c r="E45" s="24"/>
      <c r="F45" s="182">
        <f>IF(ISBLANK(D14)=TRUE, 0, IF(D14="TOU", 0.64*$F$55+0.18*$F$56+0.18*$F$57, IF(AND(D14="non-TOU", G59&gt;0), F59,F58)))</f>
        <v>9.2460000000000001E-2</v>
      </c>
      <c r="G45" s="26">
        <f>$F$16*(1+$F$74)-$F$16</f>
        <v>720</v>
      </c>
      <c r="H45" s="183">
        <f t="shared" si="7"/>
        <v>66.571200000000005</v>
      </c>
      <c r="I45" s="57"/>
      <c r="J45" s="184">
        <f>0.64*$F$55+0.18*$F$56+0.18*$F$57</f>
        <v>9.2460000000000001E-2</v>
      </c>
      <c r="K45" s="26">
        <f>$F$16*(1+$J$74)-$F$16</f>
        <v>706.49999999999818</v>
      </c>
      <c r="L45" s="183">
        <f t="shared" si="8"/>
        <v>65.322989999999834</v>
      </c>
      <c r="M45" s="57"/>
      <c r="N45" s="185">
        <f t="shared" si="9"/>
        <v>-1.2482100000001708</v>
      </c>
      <c r="O45" s="186">
        <f t="shared" si="10"/>
        <v>-1.8750000000002563E-2</v>
      </c>
    </row>
    <row r="46" spans="2:15" x14ac:dyDescent="0.25">
      <c r="B46" s="49" t="s">
        <v>26</v>
      </c>
      <c r="C46" s="22"/>
      <c r="D46" s="23" t="s">
        <v>60</v>
      </c>
      <c r="E46" s="24"/>
      <c r="F46" s="177">
        <v>0.79</v>
      </c>
      <c r="G46" s="26">
        <v>1</v>
      </c>
      <c r="H46" s="27">
        <f t="shared" si="7"/>
        <v>0.79</v>
      </c>
      <c r="I46" s="28"/>
      <c r="J46" s="177">
        <v>0.79</v>
      </c>
      <c r="K46" s="26">
        <v>1</v>
      </c>
      <c r="L46" s="27">
        <f t="shared" si="8"/>
        <v>0.79</v>
      </c>
      <c r="M46" s="28"/>
      <c r="N46" s="31">
        <f t="shared" si="9"/>
        <v>0</v>
      </c>
      <c r="O46" s="32"/>
    </row>
    <row r="47" spans="2:15" ht="25.5" x14ac:dyDescent="0.25">
      <c r="B47" s="50" t="s">
        <v>27</v>
      </c>
      <c r="C47" s="51"/>
      <c r="D47" s="51"/>
      <c r="E47" s="51"/>
      <c r="F47" s="52"/>
      <c r="G47" s="53"/>
      <c r="H47" s="54">
        <f>SUM(H39:H46)+H38</f>
        <v>321.20120000000003</v>
      </c>
      <c r="I47" s="41"/>
      <c r="J47" s="53"/>
      <c r="K47" s="55"/>
      <c r="L47" s="54">
        <f>SUM(L39:L46)+L38</f>
        <v>289.25302504461757</v>
      </c>
      <c r="M47" s="41"/>
      <c r="N47" s="44">
        <f t="shared" si="9"/>
        <v>-31.948174955382456</v>
      </c>
      <c r="O47" s="45">
        <f t="shared" ref="O47:O65" si="11">IF((H47)=0,"",(N47/H47))</f>
        <v>-9.9464681188558612E-2</v>
      </c>
    </row>
    <row r="48" spans="2:15" x14ac:dyDescent="0.25">
      <c r="B48" s="28" t="s">
        <v>28</v>
      </c>
      <c r="C48" s="28"/>
      <c r="D48" s="56" t="s">
        <v>61</v>
      </c>
      <c r="E48" s="57"/>
      <c r="F48" s="29">
        <v>6.8999999999999999E-3</v>
      </c>
      <c r="G48" s="58">
        <f>F16*(1+F74)</f>
        <v>15720</v>
      </c>
      <c r="H48" s="27">
        <f>G48*F48</f>
        <v>108.468</v>
      </c>
      <c r="I48" s="28"/>
      <c r="J48" s="29">
        <f>'[5]13. Final 2015 RTS Rates'!$F$27</f>
        <v>7.0871105522439639E-3</v>
      </c>
      <c r="K48" s="59">
        <f>F16*(1+J74)</f>
        <v>15706.499999999998</v>
      </c>
      <c r="L48" s="27">
        <f>K48*J48</f>
        <v>111.31370188881981</v>
      </c>
      <c r="M48" s="28"/>
      <c r="N48" s="31">
        <f t="shared" si="9"/>
        <v>2.8457018888198036</v>
      </c>
      <c r="O48" s="32">
        <f t="shared" si="11"/>
        <v>2.6235404808974107E-2</v>
      </c>
    </row>
    <row r="49" spans="2:19" x14ac:dyDescent="0.25">
      <c r="B49" s="60" t="s">
        <v>29</v>
      </c>
      <c r="C49" s="28"/>
      <c r="D49" s="56" t="s">
        <v>61</v>
      </c>
      <c r="E49" s="57"/>
      <c r="F49" s="29">
        <v>5.1999999999999998E-3</v>
      </c>
      <c r="G49" s="58">
        <f>G48</f>
        <v>15720</v>
      </c>
      <c r="H49" s="27">
        <f>G49*F49</f>
        <v>81.744</v>
      </c>
      <c r="I49" s="28"/>
      <c r="J49" s="29">
        <f>'[5]13. Final 2015 RTS Rates'!$H$27</f>
        <v>5.3052532652731223E-3</v>
      </c>
      <c r="K49" s="59">
        <f>K48</f>
        <v>15706.499999999998</v>
      </c>
      <c r="L49" s="27">
        <f>K49*J49</f>
        <v>83.32696041101228</v>
      </c>
      <c r="M49" s="28"/>
      <c r="N49" s="31">
        <f t="shared" si="9"/>
        <v>1.5829604110122801</v>
      </c>
      <c r="O49" s="32">
        <f t="shared" si="11"/>
        <v>1.9364851377621357E-2</v>
      </c>
    </row>
    <row r="50" spans="2:19" x14ac:dyDescent="0.25">
      <c r="B50" s="50" t="s">
        <v>30</v>
      </c>
      <c r="C50" s="36"/>
      <c r="D50" s="36"/>
      <c r="E50" s="36"/>
      <c r="F50" s="61"/>
      <c r="G50" s="53"/>
      <c r="H50" s="54">
        <f>SUM(H47:H49)</f>
        <v>511.41320000000007</v>
      </c>
      <c r="I50" s="62"/>
      <c r="J50" s="63"/>
      <c r="K50" s="64"/>
      <c r="L50" s="54">
        <f>SUM(L47:L49)</f>
        <v>483.89368734444969</v>
      </c>
      <c r="M50" s="62"/>
      <c r="N50" s="44">
        <f t="shared" si="9"/>
        <v>-27.519512655550386</v>
      </c>
      <c r="O50" s="45">
        <f t="shared" si="11"/>
        <v>-5.3810720285574133E-2</v>
      </c>
    </row>
    <row r="51" spans="2:19" x14ac:dyDescent="0.25">
      <c r="B51" s="65" t="s">
        <v>31</v>
      </c>
      <c r="C51" s="22"/>
      <c r="D51" s="23" t="s">
        <v>61</v>
      </c>
      <c r="E51" s="24"/>
      <c r="F51" s="66">
        <v>4.4000000000000003E-3</v>
      </c>
      <c r="G51" s="58">
        <f>G49</f>
        <v>15720</v>
      </c>
      <c r="H51" s="67">
        <f t="shared" ref="H51:H57" si="12">G51*F51</f>
        <v>69.168000000000006</v>
      </c>
      <c r="I51" s="28"/>
      <c r="J51" s="66">
        <v>4.4000000000000003E-3</v>
      </c>
      <c r="K51" s="59">
        <f>K49</f>
        <v>15706.499999999998</v>
      </c>
      <c r="L51" s="67">
        <f t="shared" ref="L51:L57" si="13">K51*J51</f>
        <v>69.108599999999996</v>
      </c>
      <c r="M51" s="28"/>
      <c r="N51" s="31">
        <f t="shared" si="9"/>
        <v>-5.9400000000010778E-2</v>
      </c>
      <c r="O51" s="68">
        <f t="shared" si="11"/>
        <v>-8.5877862595435425E-4</v>
      </c>
    </row>
    <row r="52" spans="2:19" x14ac:dyDescent="0.25">
      <c r="B52" s="65" t="s">
        <v>32</v>
      </c>
      <c r="C52" s="22"/>
      <c r="D52" s="23" t="s">
        <v>61</v>
      </c>
      <c r="E52" s="24"/>
      <c r="F52" s="66">
        <v>1.2999999999999999E-3</v>
      </c>
      <c r="G52" s="58">
        <f>G49</f>
        <v>15720</v>
      </c>
      <c r="H52" s="67">
        <f t="shared" si="12"/>
        <v>20.436</v>
      </c>
      <c r="I52" s="28"/>
      <c r="J52" s="66">
        <v>1.2999999999999999E-3</v>
      </c>
      <c r="K52" s="59">
        <f>K49</f>
        <v>15706.499999999998</v>
      </c>
      <c r="L52" s="67">
        <f t="shared" si="13"/>
        <v>20.418449999999996</v>
      </c>
      <c r="M52" s="28"/>
      <c r="N52" s="31">
        <f t="shared" si="9"/>
        <v>-1.7550000000003507E-2</v>
      </c>
      <c r="O52" s="68">
        <f t="shared" si="11"/>
        <v>-8.5877862595437008E-4</v>
      </c>
    </row>
    <row r="53" spans="2:19" x14ac:dyDescent="0.25">
      <c r="B53" s="22" t="s">
        <v>33</v>
      </c>
      <c r="C53" s="22"/>
      <c r="D53" s="23" t="s">
        <v>60</v>
      </c>
      <c r="E53" s="24"/>
      <c r="F53" s="176">
        <v>0.25</v>
      </c>
      <c r="G53" s="26">
        <v>1</v>
      </c>
      <c r="H53" s="67">
        <f t="shared" si="12"/>
        <v>0.25</v>
      </c>
      <c r="I53" s="28"/>
      <c r="J53" s="176">
        <v>0.25</v>
      </c>
      <c r="K53" s="30">
        <v>1</v>
      </c>
      <c r="L53" s="67">
        <f t="shared" si="13"/>
        <v>0.25</v>
      </c>
      <c r="M53" s="28"/>
      <c r="N53" s="31">
        <f t="shared" si="9"/>
        <v>0</v>
      </c>
      <c r="O53" s="68">
        <f t="shared" si="11"/>
        <v>0</v>
      </c>
    </row>
    <row r="54" spans="2:19" x14ac:dyDescent="0.25">
      <c r="B54" s="22" t="s">
        <v>34</v>
      </c>
      <c r="C54" s="22"/>
      <c r="D54" s="23" t="s">
        <v>61</v>
      </c>
      <c r="E54" s="24"/>
      <c r="F54" s="66">
        <v>7.0000000000000001E-3</v>
      </c>
      <c r="G54" s="69">
        <f>F16</f>
        <v>15000</v>
      </c>
      <c r="H54" s="67">
        <f t="shared" si="12"/>
        <v>105</v>
      </c>
      <c r="I54" s="28"/>
      <c r="J54" s="66">
        <v>7.0000000000000001E-3</v>
      </c>
      <c r="K54" s="70">
        <f>F16</f>
        <v>15000</v>
      </c>
      <c r="L54" s="67">
        <f t="shared" si="13"/>
        <v>105</v>
      </c>
      <c r="M54" s="28"/>
      <c r="N54" s="31">
        <f t="shared" si="9"/>
        <v>0</v>
      </c>
      <c r="O54" s="68">
        <f t="shared" si="11"/>
        <v>0</v>
      </c>
    </row>
    <row r="55" spans="2:19" x14ac:dyDescent="0.25">
      <c r="B55" s="49" t="s">
        <v>35</v>
      </c>
      <c r="C55" s="22"/>
      <c r="D55" s="23" t="s">
        <v>61</v>
      </c>
      <c r="E55" s="24"/>
      <c r="F55" s="66">
        <v>7.4999999999999997E-2</v>
      </c>
      <c r="G55" s="69">
        <f>0.64*$F$16</f>
        <v>9600</v>
      </c>
      <c r="H55" s="67">
        <f t="shared" si="12"/>
        <v>720</v>
      </c>
      <c r="I55" s="28"/>
      <c r="J55" s="66">
        <v>7.4999999999999997E-2</v>
      </c>
      <c r="K55" s="69">
        <f>G55</f>
        <v>9600</v>
      </c>
      <c r="L55" s="67">
        <f t="shared" si="13"/>
        <v>720</v>
      </c>
      <c r="M55" s="28"/>
      <c r="N55" s="31">
        <f t="shared" si="9"/>
        <v>0</v>
      </c>
      <c r="O55" s="68">
        <f t="shared" si="11"/>
        <v>0</v>
      </c>
      <c r="S55" s="72"/>
    </row>
    <row r="56" spans="2:19" x14ac:dyDescent="0.25">
      <c r="B56" s="49" t="s">
        <v>36</v>
      </c>
      <c r="C56" s="22"/>
      <c r="D56" s="23" t="s">
        <v>61</v>
      </c>
      <c r="E56" s="24"/>
      <c r="F56" s="66">
        <v>0.112</v>
      </c>
      <c r="G56" s="69">
        <f>0.18*$F$16</f>
        <v>2700</v>
      </c>
      <c r="H56" s="67">
        <f t="shared" si="12"/>
        <v>302.40000000000003</v>
      </c>
      <c r="I56" s="28"/>
      <c r="J56" s="66">
        <v>0.112</v>
      </c>
      <c r="K56" s="69">
        <f>G56</f>
        <v>2700</v>
      </c>
      <c r="L56" s="67">
        <f t="shared" si="13"/>
        <v>302.40000000000003</v>
      </c>
      <c r="M56" s="28"/>
      <c r="N56" s="31">
        <f t="shared" si="9"/>
        <v>0</v>
      </c>
      <c r="O56" s="68">
        <f t="shared" si="11"/>
        <v>0</v>
      </c>
      <c r="S56" s="72"/>
    </row>
    <row r="57" spans="2:19" x14ac:dyDescent="0.25">
      <c r="B57" s="12" t="s">
        <v>37</v>
      </c>
      <c r="C57" s="22"/>
      <c r="D57" s="23" t="s">
        <v>61</v>
      </c>
      <c r="E57" s="24"/>
      <c r="F57" s="66">
        <v>0.13500000000000001</v>
      </c>
      <c r="G57" s="69">
        <f>0.18*$F$16</f>
        <v>2700</v>
      </c>
      <c r="H57" s="67">
        <f t="shared" si="12"/>
        <v>364.5</v>
      </c>
      <c r="I57" s="28"/>
      <c r="J57" s="66">
        <v>0.13500000000000001</v>
      </c>
      <c r="K57" s="69">
        <f>G57</f>
        <v>2700</v>
      </c>
      <c r="L57" s="67">
        <f t="shared" si="13"/>
        <v>364.5</v>
      </c>
      <c r="M57" s="28"/>
      <c r="N57" s="31">
        <f t="shared" si="9"/>
        <v>0</v>
      </c>
      <c r="O57" s="68">
        <f t="shared" si="11"/>
        <v>0</v>
      </c>
      <c r="S57" s="72"/>
    </row>
    <row r="58" spans="2:19" s="73" customFormat="1" x14ac:dyDescent="0.2">
      <c r="B58" s="74" t="s">
        <v>38</v>
      </c>
      <c r="C58" s="75"/>
      <c r="D58" s="76" t="s">
        <v>61</v>
      </c>
      <c r="E58" s="77"/>
      <c r="F58" s="66">
        <v>8.5999999999999993E-2</v>
      </c>
      <c r="G58" s="78">
        <f>IF(AND($T$1=1, F16&gt;=600), 600, IF(AND($T$1=1, AND(F16&lt;600, F16&gt;=0)), F16, IF(AND($T$1=2, F16&gt;=1000), 1000, IF(AND($T$1=2, AND(F16&lt;1000, F16&gt;=0)), F16))))</f>
        <v>600</v>
      </c>
      <c r="H58" s="67">
        <f>G58*F58</f>
        <v>51.599999999999994</v>
      </c>
      <c r="I58" s="79"/>
      <c r="J58" s="66">
        <v>8.5999999999999993E-2</v>
      </c>
      <c r="K58" s="78">
        <f>G58</f>
        <v>600</v>
      </c>
      <c r="L58" s="67">
        <f>K58*J58</f>
        <v>51.599999999999994</v>
      </c>
      <c r="M58" s="79"/>
      <c r="N58" s="80">
        <f t="shared" si="9"/>
        <v>0</v>
      </c>
      <c r="O58" s="68">
        <f t="shared" si="11"/>
        <v>0</v>
      </c>
    </row>
    <row r="59" spans="2:19" s="73" customFormat="1" ht="15.75" thickBot="1" x14ac:dyDescent="0.25">
      <c r="B59" s="74" t="s">
        <v>39</v>
      </c>
      <c r="C59" s="75"/>
      <c r="D59" s="76" t="s">
        <v>61</v>
      </c>
      <c r="E59" s="77"/>
      <c r="F59" s="66">
        <v>0.10100000000000001</v>
      </c>
      <c r="G59" s="78">
        <f>IF(AND($T$1=1, F16&gt;=600), F16-600, IF(AND($T$1=1, AND(F16&lt;600, F16&gt;=0)), 0, IF(AND($T$1=2, F16&gt;=1000), F16-1000, IF(AND($T$1=2, AND(F16&lt;1000, F16&gt;=0)), 0))))</f>
        <v>14400</v>
      </c>
      <c r="H59" s="67">
        <f>G59*F59</f>
        <v>1454.4</v>
      </c>
      <c r="I59" s="79"/>
      <c r="J59" s="66">
        <v>0.10100000000000001</v>
      </c>
      <c r="K59" s="78">
        <f>G59</f>
        <v>14400</v>
      </c>
      <c r="L59" s="67">
        <f>K59*J59</f>
        <v>1454.4</v>
      </c>
      <c r="M59" s="79"/>
      <c r="N59" s="80">
        <f t="shared" si="9"/>
        <v>0</v>
      </c>
      <c r="O59" s="68">
        <f t="shared" si="11"/>
        <v>0</v>
      </c>
    </row>
    <row r="60" spans="2:19" ht="8.25" customHeight="1" thickBot="1" x14ac:dyDescent="0.3">
      <c r="B60" s="81"/>
      <c r="C60" s="82"/>
      <c r="D60" s="83"/>
      <c r="E60" s="82"/>
      <c r="F60" s="84"/>
      <c r="G60" s="85"/>
      <c r="H60" s="86"/>
      <c r="I60" s="87"/>
      <c r="J60" s="84"/>
      <c r="K60" s="88"/>
      <c r="L60" s="86"/>
      <c r="M60" s="87"/>
      <c r="N60" s="89"/>
      <c r="O60" s="90"/>
    </row>
    <row r="61" spans="2:19" x14ac:dyDescent="0.25">
      <c r="B61" s="91" t="s">
        <v>40</v>
      </c>
      <c r="C61" s="22"/>
      <c r="D61" s="22"/>
      <c r="E61" s="22"/>
      <c r="F61" s="92"/>
      <c r="G61" s="93"/>
      <c r="H61" s="94">
        <f>SUM(H51:H57,H50)</f>
        <v>2093.1672000000003</v>
      </c>
      <c r="I61" s="95"/>
      <c r="J61" s="96"/>
      <c r="K61" s="96"/>
      <c r="L61" s="189">
        <f>SUM(L51:L57,L50)</f>
        <v>2065.5707373444498</v>
      </c>
      <c r="M61" s="97"/>
      <c r="N61" s="98">
        <f>L61-H61</f>
        <v>-27.596462655550567</v>
      </c>
      <c r="O61" s="99">
        <f>IF((H61)=0,"",(N61/H61))</f>
        <v>-1.3184069889663169E-2</v>
      </c>
      <c r="S61" s="72"/>
    </row>
    <row r="62" spans="2:19" x14ac:dyDescent="0.25">
      <c r="B62" s="100" t="s">
        <v>41</v>
      </c>
      <c r="C62" s="22"/>
      <c r="D62" s="22"/>
      <c r="E62" s="22"/>
      <c r="F62" s="101">
        <v>0.13</v>
      </c>
      <c r="G62" s="102"/>
      <c r="H62" s="103">
        <f>H61*F62</f>
        <v>272.11173600000006</v>
      </c>
      <c r="I62" s="104"/>
      <c r="J62" s="105">
        <v>0.13</v>
      </c>
      <c r="K62" s="104"/>
      <c r="L62" s="106">
        <f>L61*J62</f>
        <v>268.5241958547785</v>
      </c>
      <c r="M62" s="107"/>
      <c r="N62" s="108">
        <f t="shared" si="9"/>
        <v>-3.5875401452215669</v>
      </c>
      <c r="O62" s="109">
        <f t="shared" si="11"/>
        <v>-1.3184069889663141E-2</v>
      </c>
      <c r="S62" s="72"/>
    </row>
    <row r="63" spans="2:19" x14ac:dyDescent="0.25">
      <c r="B63" s="110" t="s">
        <v>42</v>
      </c>
      <c r="C63" s="22"/>
      <c r="D63" s="22"/>
      <c r="E63" s="22"/>
      <c r="F63" s="111"/>
      <c r="G63" s="102"/>
      <c r="H63" s="103">
        <f>H61+H62</f>
        <v>2365.2789360000006</v>
      </c>
      <c r="I63" s="104"/>
      <c r="J63" s="104"/>
      <c r="K63" s="104"/>
      <c r="L63" s="106">
        <f>L61+L62</f>
        <v>2334.0949331992283</v>
      </c>
      <c r="M63" s="107"/>
      <c r="N63" s="108">
        <f t="shared" si="9"/>
        <v>-31.184002800772305</v>
      </c>
      <c r="O63" s="109">
        <f t="shared" si="11"/>
        <v>-1.3184069889663237E-2</v>
      </c>
      <c r="S63" s="72"/>
    </row>
    <row r="64" spans="2:19" ht="15.75" customHeight="1" x14ac:dyDescent="0.25">
      <c r="B64" s="240" t="s">
        <v>43</v>
      </c>
      <c r="C64" s="240"/>
      <c r="D64" s="240"/>
      <c r="E64" s="22"/>
      <c r="F64" s="111"/>
      <c r="G64" s="102"/>
      <c r="H64" s="112">
        <f>ROUND(-H63*10%,2)</f>
        <v>-236.53</v>
      </c>
      <c r="I64" s="104"/>
      <c r="J64" s="104"/>
      <c r="K64" s="104"/>
      <c r="L64" s="113">
        <f>ROUND(-L63*10%,2)</f>
        <v>-233.41</v>
      </c>
      <c r="M64" s="107"/>
      <c r="N64" s="114">
        <f t="shared" si="9"/>
        <v>3.1200000000000045</v>
      </c>
      <c r="O64" s="115">
        <f t="shared" si="11"/>
        <v>-1.3190715765442035E-2</v>
      </c>
    </row>
    <row r="65" spans="1:15" ht="15.75" thickBot="1" x14ac:dyDescent="0.3">
      <c r="B65" s="246" t="s">
        <v>44</v>
      </c>
      <c r="C65" s="246"/>
      <c r="D65" s="246"/>
      <c r="E65" s="116"/>
      <c r="F65" s="117"/>
      <c r="G65" s="118"/>
      <c r="H65" s="119">
        <f>H63+H64</f>
        <v>2128.7489360000004</v>
      </c>
      <c r="I65" s="120"/>
      <c r="J65" s="120"/>
      <c r="K65" s="120"/>
      <c r="L65" s="121">
        <f>L63+L64</f>
        <v>2100.6849331992285</v>
      </c>
      <c r="M65" s="122"/>
      <c r="N65" s="123">
        <f t="shared" si="9"/>
        <v>-28.064002800771959</v>
      </c>
      <c r="O65" s="124">
        <f t="shared" si="11"/>
        <v>-1.3183331451714207E-2</v>
      </c>
    </row>
    <row r="66" spans="1:15" s="73" customFormat="1" ht="8.25" customHeight="1" thickBot="1" x14ac:dyDescent="0.25">
      <c r="B66" s="125"/>
      <c r="C66" s="126"/>
      <c r="D66" s="127"/>
      <c r="E66" s="126"/>
      <c r="F66" s="84"/>
      <c r="G66" s="128"/>
      <c r="H66" s="86"/>
      <c r="I66" s="129"/>
      <c r="J66" s="84"/>
      <c r="K66" s="130"/>
      <c r="L66" s="86"/>
      <c r="M66" s="129"/>
      <c r="N66" s="131"/>
      <c r="O66" s="90"/>
    </row>
    <row r="67" spans="1:15" s="73" customFormat="1" ht="12.75" x14ac:dyDescent="0.2">
      <c r="B67" s="132" t="s">
        <v>45</v>
      </c>
      <c r="C67" s="75"/>
      <c r="D67" s="75"/>
      <c r="E67" s="75"/>
      <c r="F67" s="133"/>
      <c r="G67" s="134"/>
      <c r="H67" s="135">
        <f>SUM(H58:H59,H50,H51:H54)</f>
        <v>2212.2672000000002</v>
      </c>
      <c r="I67" s="136"/>
      <c r="J67" s="137"/>
      <c r="K67" s="137"/>
      <c r="L67" s="188">
        <f>SUM(L58:L59,L50,L51:L54)</f>
        <v>2184.6707373444497</v>
      </c>
      <c r="M67" s="138"/>
      <c r="N67" s="139">
        <f>L67-H67</f>
        <v>-27.596462655550567</v>
      </c>
      <c r="O67" s="99">
        <f>IF((H67)=0,"",(N67/H67))</f>
        <v>-1.247429002045981E-2</v>
      </c>
    </row>
    <row r="68" spans="1:15" s="73" customFormat="1" ht="12.75" x14ac:dyDescent="0.2">
      <c r="B68" s="140" t="s">
        <v>41</v>
      </c>
      <c r="C68" s="75"/>
      <c r="D68" s="75"/>
      <c r="E68" s="75"/>
      <c r="F68" s="141">
        <v>0.13</v>
      </c>
      <c r="G68" s="134"/>
      <c r="H68" s="142">
        <f>H67*F68</f>
        <v>287.59473600000001</v>
      </c>
      <c r="I68" s="143"/>
      <c r="J68" s="144">
        <v>0.13</v>
      </c>
      <c r="K68" s="145"/>
      <c r="L68" s="146">
        <f>L67*J68</f>
        <v>284.00719585477844</v>
      </c>
      <c r="M68" s="147"/>
      <c r="N68" s="148">
        <f>L68-H68</f>
        <v>-3.5875401452215669</v>
      </c>
      <c r="O68" s="109">
        <f>IF((H68)=0,"",(N68/H68))</f>
        <v>-1.2474290020459786E-2</v>
      </c>
    </row>
    <row r="69" spans="1:15" s="73" customFormat="1" ht="12.75" x14ac:dyDescent="0.2">
      <c r="B69" s="149" t="s">
        <v>42</v>
      </c>
      <c r="C69" s="75"/>
      <c r="D69" s="75"/>
      <c r="E69" s="75"/>
      <c r="F69" s="150"/>
      <c r="G69" s="151"/>
      <c r="H69" s="142">
        <f>H67+H68</f>
        <v>2499.8619360000002</v>
      </c>
      <c r="I69" s="143"/>
      <c r="J69" s="143"/>
      <c r="K69" s="143"/>
      <c r="L69" s="146">
        <f>L67+L68</f>
        <v>2468.6779331992279</v>
      </c>
      <c r="M69" s="147"/>
      <c r="N69" s="148">
        <f>L69-H69</f>
        <v>-31.184002800772305</v>
      </c>
      <c r="O69" s="109">
        <f>IF((H69)=0,"",(N69/H69))</f>
        <v>-1.2474290020459874E-2</v>
      </c>
    </row>
    <row r="70" spans="1:15" s="73" customFormat="1" ht="15.75" customHeight="1" x14ac:dyDescent="0.2">
      <c r="B70" s="241" t="s">
        <v>43</v>
      </c>
      <c r="C70" s="241"/>
      <c r="D70" s="241"/>
      <c r="E70" s="75"/>
      <c r="F70" s="150"/>
      <c r="G70" s="151"/>
      <c r="H70" s="152">
        <f>ROUND(-H69*10%,2)</f>
        <v>-249.99</v>
      </c>
      <c r="I70" s="143"/>
      <c r="J70" s="143"/>
      <c r="K70" s="143"/>
      <c r="L70" s="153">
        <f>ROUND(-L69*10%,2)</f>
        <v>-246.87</v>
      </c>
      <c r="M70" s="147"/>
      <c r="N70" s="154">
        <f>L70-H70</f>
        <v>3.1200000000000045</v>
      </c>
      <c r="O70" s="115">
        <f>IF((H70)=0,"",(N70/H70))</f>
        <v>-1.2480499219968817E-2</v>
      </c>
    </row>
    <row r="71" spans="1:15" s="73" customFormat="1" ht="13.5" thickBot="1" x14ac:dyDescent="0.25">
      <c r="B71" s="233" t="s">
        <v>46</v>
      </c>
      <c r="C71" s="233"/>
      <c r="D71" s="233"/>
      <c r="E71" s="155"/>
      <c r="F71" s="156"/>
      <c r="G71" s="157"/>
      <c r="H71" s="158">
        <f>SUM(H69:H70)</f>
        <v>2249.8719360000005</v>
      </c>
      <c r="I71" s="159"/>
      <c r="J71" s="159"/>
      <c r="K71" s="159"/>
      <c r="L71" s="160">
        <f>SUM(L69:L70)</f>
        <v>2221.807933199228</v>
      </c>
      <c r="M71" s="161"/>
      <c r="N71" s="162">
        <f>L71-H71</f>
        <v>-28.064002800772414</v>
      </c>
      <c r="O71" s="163">
        <f>IF((H71)=0,"",(N71/H71))</f>
        <v>-1.2473600097731255E-2</v>
      </c>
    </row>
    <row r="72" spans="1:15" s="73" customFormat="1" ht="8.25" customHeight="1" thickBot="1" x14ac:dyDescent="0.25">
      <c r="B72" s="125"/>
      <c r="C72" s="126"/>
      <c r="D72" s="127"/>
      <c r="E72" s="126"/>
      <c r="F72" s="164"/>
      <c r="G72" s="165"/>
      <c r="H72" s="166"/>
      <c r="I72" s="167"/>
      <c r="J72" s="164"/>
      <c r="K72" s="128"/>
      <c r="L72" s="168"/>
      <c r="M72" s="129"/>
      <c r="N72" s="169"/>
      <c r="O72" s="90"/>
    </row>
    <row r="73" spans="1:15" ht="10.5" customHeight="1" x14ac:dyDescent="0.25">
      <c r="L73" s="72"/>
    </row>
    <row r="74" spans="1:15" x14ac:dyDescent="0.25">
      <c r="B74" s="13" t="s">
        <v>47</v>
      </c>
      <c r="F74" s="170">
        <v>4.8000000000000001E-2</v>
      </c>
      <c r="J74" s="170">
        <f>'Res (100kWh)'!$J$74</f>
        <v>4.7100000000000003E-2</v>
      </c>
    </row>
    <row r="75" spans="1:15" ht="10.5" customHeight="1" x14ac:dyDescent="0.25"/>
    <row r="76" spans="1:15" x14ac:dyDescent="0.25">
      <c r="A76" s="171" t="s">
        <v>48</v>
      </c>
    </row>
    <row r="77" spans="1:15" ht="10.5" customHeight="1" x14ac:dyDescent="0.25"/>
    <row r="78" spans="1:15" x14ac:dyDescent="0.25">
      <c r="A78" s="7" t="s">
        <v>49</v>
      </c>
    </row>
    <row r="79" spans="1:15" x14ac:dyDescent="0.25">
      <c r="A79" s="7" t="s">
        <v>50</v>
      </c>
    </row>
    <row r="81" spans="1:2" x14ac:dyDescent="0.25">
      <c r="A81" s="12" t="s">
        <v>51</v>
      </c>
    </row>
    <row r="82" spans="1:2" x14ac:dyDescent="0.25">
      <c r="A82" s="12" t="s">
        <v>52</v>
      </c>
    </row>
    <row r="84" spans="1:2" x14ac:dyDescent="0.25">
      <c r="A84" s="7" t="s">
        <v>53</v>
      </c>
    </row>
    <row r="85" spans="1:2" x14ac:dyDescent="0.25">
      <c r="A85" s="7" t="s">
        <v>54</v>
      </c>
    </row>
    <row r="86" spans="1:2" x14ac:dyDescent="0.25">
      <c r="A86" s="7" t="s">
        <v>55</v>
      </c>
    </row>
    <row r="87" spans="1:2" x14ac:dyDescent="0.25">
      <c r="A87" s="7" t="s">
        <v>56</v>
      </c>
    </row>
    <row r="88" spans="1:2" x14ac:dyDescent="0.25">
      <c r="A88" s="7" t="s">
        <v>57</v>
      </c>
    </row>
    <row r="90" spans="1:2" x14ac:dyDescent="0.25">
      <c r="A90" s="172"/>
      <c r="B90" s="7" t="s">
        <v>58</v>
      </c>
    </row>
  </sheetData>
  <mergeCells count="17">
    <mergeCell ref="B64:D64"/>
    <mergeCell ref="B65:D65"/>
    <mergeCell ref="B70:D70"/>
    <mergeCell ref="B71:D71"/>
    <mergeCell ref="B9:O9"/>
    <mergeCell ref="D12:O12"/>
    <mergeCell ref="F18:H18"/>
    <mergeCell ref="J18:L18"/>
    <mergeCell ref="N18:O18"/>
    <mergeCell ref="D19:D20"/>
    <mergeCell ref="N19:N20"/>
    <mergeCell ref="O19:O20"/>
    <mergeCell ref="B8:O8"/>
    <mergeCell ref="N1:O1"/>
    <mergeCell ref="N2:O2"/>
    <mergeCell ref="N3:O3"/>
    <mergeCell ref="N5:O5"/>
  </mergeCells>
  <dataValidations count="4">
    <dataValidation type="list" allowBlank="1" showInputMessage="1" showErrorMessage="1" sqref="E48:E49 E51:E57 E60 E39:E46 E21:E37">
      <formula1>#REF!</formula1>
    </dataValidation>
    <dataValidation type="list" allowBlank="1" showInputMessage="1" showErrorMessage="1" prompt="Select Charge Unit - monthly, per kWh, per kW" sqref="D48:D49 D66 D72 D51:D60 D39:D46 D21:D37">
      <formula1>"Monthly, per kWh, per kW"</formula1>
    </dataValidation>
    <dataValidation type="list" allowBlank="1" showInputMessage="1" showErrorMessage="1" sqref="E72 E66 E58:E59">
      <formula1>#REF!</formula1>
    </dataValidation>
    <dataValidation type="list" allowBlank="1" showInputMessage="1" showErrorMessage="1" sqref="D14">
      <formula1>"TOU, non-TOU"</formula1>
    </dataValidation>
  </dataValidations>
  <pageMargins left="0.7" right="0.7" top="0.75" bottom="0.75" header="0.3" footer="0.3"/>
  <pageSetup scale="59" fitToHeight="0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>
    <tabColor theme="0" tint="-0.14999847407452621"/>
    <pageSetUpPr fitToPage="1"/>
  </sheetPr>
  <dimension ref="A1:T89"/>
  <sheetViews>
    <sheetView showGridLines="0" workbookViewId="0">
      <selection activeCell="L1" sqref="L1:O5"/>
    </sheetView>
  </sheetViews>
  <sheetFormatPr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8.5703125" style="7" customWidth="1"/>
    <col min="8" max="8" width="11.5703125" style="7" bestFit="1" customWidth="1"/>
    <col min="9" max="9" width="2.85546875" style="7" customWidth="1"/>
    <col min="10" max="10" width="12.140625" style="7" customWidth="1"/>
    <col min="11" max="11" width="8.5703125" style="7" customWidth="1"/>
    <col min="12" max="12" width="11.5703125" style="7" bestFit="1" customWidth="1"/>
    <col min="13" max="13" width="2.85546875" style="7" customWidth="1"/>
    <col min="14" max="14" width="12.7109375" style="7" bestFit="1" customWidth="1"/>
    <col min="15" max="15" width="10.85546875" style="7" bestFit="1" customWidth="1"/>
    <col min="16" max="16" width="10.14062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21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248" t="str">
        <f>'Res (100kWh)'!$N$1:$O$1</f>
        <v>EB-2014-0099</v>
      </c>
      <c r="O1" s="248"/>
      <c r="P1" s="190"/>
      <c r="T1" s="2">
        <v>1</v>
      </c>
    </row>
    <row r="2" spans="1:20" s="2" customFormat="1" ht="18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94</v>
      </c>
      <c r="N2" s="249">
        <f>'Res (100kWh)'!$N$2:$O$2</f>
        <v>8</v>
      </c>
      <c r="O2" s="249"/>
      <c r="P2" s="191"/>
    </row>
    <row r="3" spans="1:20" s="2" customFormat="1" ht="15.75" x14ac:dyDescent="0.25">
      <c r="C3" s="6"/>
      <c r="D3" s="6"/>
      <c r="E3" s="6"/>
      <c r="L3" s="3" t="s">
        <v>95</v>
      </c>
      <c r="N3" s="248" t="str">
        <f>'Res (100kWh)'!$N$3:$O$3</f>
        <v>8-B</v>
      </c>
      <c r="O3" s="248"/>
      <c r="P3" s="190"/>
    </row>
    <row r="4" spans="1:20" s="2" customFormat="1" x14ac:dyDescent="0.25">
      <c r="L4" s="3"/>
      <c r="N4" s="232"/>
      <c r="O4"/>
      <c r="P4" s="192"/>
    </row>
    <row r="5" spans="1:20" s="2" customFormat="1" x14ac:dyDescent="0.25">
      <c r="L5" s="3" t="s">
        <v>75</v>
      </c>
      <c r="N5" s="248">
        <f>'Res (100kWh)'!$N$5:$O$5</f>
        <v>42118</v>
      </c>
      <c r="O5" s="248"/>
      <c r="P5" s="193"/>
    </row>
    <row r="6" spans="1:20" s="2" customFormat="1" x14ac:dyDescent="0.25">
      <c r="N6" s="7"/>
      <c r="O6"/>
      <c r="P6"/>
    </row>
    <row r="7" spans="1:20" x14ac:dyDescent="0.25">
      <c r="L7"/>
      <c r="M7"/>
      <c r="N7"/>
      <c r="O7"/>
      <c r="P7"/>
    </row>
    <row r="8" spans="1:20" ht="18" x14ac:dyDescent="0.25">
      <c r="B8" s="247" t="s">
        <v>1</v>
      </c>
      <c r="C8" s="247"/>
      <c r="D8" s="247"/>
      <c r="E8" s="247"/>
      <c r="F8" s="247"/>
      <c r="G8" s="247"/>
      <c r="H8" s="247"/>
      <c r="I8" s="247"/>
      <c r="J8" s="247"/>
      <c r="K8" s="247"/>
      <c r="L8" s="247"/>
      <c r="M8" s="247"/>
      <c r="N8" s="247"/>
      <c r="O8" s="247"/>
      <c r="P8"/>
    </row>
    <row r="9" spans="1:20" ht="18" x14ac:dyDescent="0.25">
      <c r="B9" s="247" t="s">
        <v>2</v>
      </c>
      <c r="C9" s="247"/>
      <c r="D9" s="247"/>
      <c r="E9" s="247"/>
      <c r="F9" s="247"/>
      <c r="G9" s="247"/>
      <c r="H9" s="247"/>
      <c r="I9" s="247"/>
      <c r="J9" s="247"/>
      <c r="K9" s="247"/>
      <c r="L9" s="247"/>
      <c r="M9" s="247"/>
      <c r="N9" s="247"/>
      <c r="O9" s="247"/>
      <c r="P9"/>
    </row>
    <row r="10" spans="1:20" x14ac:dyDescent="0.25">
      <c r="L10"/>
      <c r="M10"/>
      <c r="N10"/>
      <c r="O10"/>
      <c r="P10"/>
    </row>
    <row r="11" spans="1:20" x14ac:dyDescent="0.25">
      <c r="L11"/>
      <c r="M11"/>
      <c r="N11"/>
      <c r="O11"/>
      <c r="P11"/>
    </row>
    <row r="12" spans="1:20" ht="15.75" x14ac:dyDescent="0.25">
      <c r="B12" s="8" t="s">
        <v>3</v>
      </c>
      <c r="D12" s="242" t="s">
        <v>87</v>
      </c>
      <c r="E12" s="242"/>
      <c r="F12" s="242"/>
      <c r="G12" s="242"/>
      <c r="H12" s="242"/>
      <c r="I12" s="242"/>
      <c r="J12" s="242"/>
      <c r="K12" s="242"/>
      <c r="L12" s="242"/>
      <c r="M12" s="242"/>
      <c r="N12" s="242"/>
      <c r="O12" s="242"/>
    </row>
    <row r="13" spans="1:20" ht="15.75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68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x14ac:dyDescent="0.25">
      <c r="B16" s="12"/>
      <c r="D16" s="13" t="s">
        <v>6</v>
      </c>
      <c r="E16" s="13"/>
      <c r="F16" s="14">
        <v>20000</v>
      </c>
      <c r="G16" s="13" t="s">
        <v>7</v>
      </c>
      <c r="H16" s="14">
        <v>60</v>
      </c>
      <c r="I16" s="13" t="s">
        <v>69</v>
      </c>
    </row>
    <row r="17" spans="2:15" x14ac:dyDescent="0.25">
      <c r="B17" s="12"/>
    </row>
    <row r="18" spans="2:15" x14ac:dyDescent="0.25">
      <c r="B18" s="12"/>
      <c r="D18" s="15"/>
      <c r="E18" s="15"/>
      <c r="F18" s="243" t="s">
        <v>8</v>
      </c>
      <c r="G18" s="244"/>
      <c r="H18" s="245"/>
      <c r="J18" s="243" t="s">
        <v>9</v>
      </c>
      <c r="K18" s="244"/>
      <c r="L18" s="245"/>
      <c r="N18" s="243" t="s">
        <v>10</v>
      </c>
      <c r="O18" s="245"/>
    </row>
    <row r="19" spans="2:15" x14ac:dyDescent="0.25">
      <c r="B19" s="12"/>
      <c r="D19" s="234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236" t="s">
        <v>15</v>
      </c>
      <c r="O19" s="238" t="s">
        <v>16</v>
      </c>
    </row>
    <row r="20" spans="2:15" x14ac:dyDescent="0.25">
      <c r="B20" s="12"/>
      <c r="D20" s="235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237"/>
      <c r="O20" s="239"/>
    </row>
    <row r="21" spans="2:15" x14ac:dyDescent="0.25">
      <c r="B21" s="22" t="s">
        <v>18</v>
      </c>
      <c r="C21" s="22"/>
      <c r="D21" s="23" t="s">
        <v>60</v>
      </c>
      <c r="E21" s="24"/>
      <c r="F21" s="174">
        <f>'[2]2014 Existing Rates'!$C$8</f>
        <v>293.97000000000003</v>
      </c>
      <c r="G21" s="26">
        <v>1</v>
      </c>
      <c r="H21" s="27">
        <f>G21*F21</f>
        <v>293.97000000000003</v>
      </c>
      <c r="I21" s="28"/>
      <c r="J21" s="173">
        <f>'[2]Rate Schedule '!$E$22</f>
        <v>341.7</v>
      </c>
      <c r="K21" s="30">
        <v>1</v>
      </c>
      <c r="L21" s="27">
        <f>K21*J21</f>
        <v>341.7</v>
      </c>
      <c r="M21" s="28"/>
      <c r="N21" s="31">
        <f>L21-H21</f>
        <v>47.729999999999961</v>
      </c>
      <c r="O21" s="32">
        <f>IF((H21)=0,"",(N21/H21))</f>
        <v>0.16236350648025294</v>
      </c>
    </row>
    <row r="22" spans="2:15" ht="30" x14ac:dyDescent="0.25">
      <c r="B22" s="65" t="s">
        <v>80</v>
      </c>
      <c r="C22" s="22"/>
      <c r="D22" s="56" t="s">
        <v>60</v>
      </c>
      <c r="E22" s="24"/>
      <c r="F22" s="173"/>
      <c r="G22" s="26">
        <v>1</v>
      </c>
      <c r="H22" s="27">
        <f t="shared" ref="H22:H37" si="0">G22*F22</f>
        <v>0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0</v>
      </c>
      <c r="O22" s="32" t="str">
        <f>IF((H22)=0,"",(N22/H22))</f>
        <v/>
      </c>
    </row>
    <row r="23" spans="2:15" hidden="1" x14ac:dyDescent="0.25">
      <c r="B23" s="175"/>
      <c r="C23" s="22"/>
      <c r="D23" s="56" t="s">
        <v>60</v>
      </c>
      <c r="E23" s="57"/>
      <c r="F23" s="173"/>
      <c r="G23" s="26">
        <v>1</v>
      </c>
      <c r="H23" s="27">
        <f t="shared" si="0"/>
        <v>0</v>
      </c>
      <c r="I23" s="28"/>
      <c r="J23" s="29"/>
      <c r="K23" s="30">
        <v>1</v>
      </c>
      <c r="L23" s="27">
        <f t="shared" ref="L23:L37" si="1">K23*J23</f>
        <v>0</v>
      </c>
      <c r="M23" s="28"/>
      <c r="N23" s="31">
        <f t="shared" ref="N23:N38" si="2">L23-H23</f>
        <v>0</v>
      </c>
      <c r="O23" s="32" t="str">
        <f t="shared" ref="O23:O38" si="3">IF((H23)=0,"",(N23/H23))</f>
        <v/>
      </c>
    </row>
    <row r="24" spans="2:15" hidden="1" x14ac:dyDescent="0.25">
      <c r="B24" s="175"/>
      <c r="C24" s="22"/>
      <c r="D24" s="56" t="s">
        <v>60</v>
      </c>
      <c r="E24" s="24"/>
      <c r="F24" s="25"/>
      <c r="G24" s="26">
        <v>1</v>
      </c>
      <c r="H24" s="27">
        <f t="shared" si="0"/>
        <v>0</v>
      </c>
      <c r="I24" s="28"/>
      <c r="J24" s="173"/>
      <c r="K24" s="30">
        <v>1</v>
      </c>
      <c r="L24" s="27">
        <f t="shared" si="1"/>
        <v>0</v>
      </c>
      <c r="M24" s="28"/>
      <c r="N24" s="31">
        <f t="shared" si="2"/>
        <v>0</v>
      </c>
      <c r="O24" s="32" t="str">
        <f t="shared" si="3"/>
        <v/>
      </c>
    </row>
    <row r="25" spans="2:15" x14ac:dyDescent="0.25">
      <c r="B25" s="175" t="s">
        <v>88</v>
      </c>
      <c r="C25" s="22"/>
      <c r="D25" s="23" t="s">
        <v>70</v>
      </c>
      <c r="E25" s="24"/>
      <c r="F25" s="25"/>
      <c r="G25" s="178">
        <f>$H$16</f>
        <v>60</v>
      </c>
      <c r="H25" s="27">
        <f t="shared" si="0"/>
        <v>0</v>
      </c>
      <c r="I25" s="28"/>
      <c r="J25" s="29">
        <f>'[4]6. Rate Rider Calculations'!$F$105</f>
        <v>7.3656815787806224E-2</v>
      </c>
      <c r="K25" s="178">
        <f>$H$16</f>
        <v>60</v>
      </c>
      <c r="L25" s="27">
        <f t="shared" si="1"/>
        <v>4.4194089472683737</v>
      </c>
      <c r="M25" s="28"/>
      <c r="N25" s="31">
        <f t="shared" si="2"/>
        <v>4.4194089472683737</v>
      </c>
      <c r="O25" s="32" t="str">
        <f t="shared" si="3"/>
        <v/>
      </c>
    </row>
    <row r="26" spans="2:15" x14ac:dyDescent="0.25">
      <c r="B26" s="46" t="s">
        <v>65</v>
      </c>
      <c r="C26" s="22"/>
      <c r="D26" s="23" t="s">
        <v>70</v>
      </c>
      <c r="E26" s="24"/>
      <c r="F26" s="25">
        <v>-2.4199999999999999E-2</v>
      </c>
      <c r="G26" s="178">
        <f>$H$16</f>
        <v>60</v>
      </c>
      <c r="H26" s="27">
        <f t="shared" si="0"/>
        <v>-1.452</v>
      </c>
      <c r="I26" s="28"/>
      <c r="J26" s="29"/>
      <c r="K26" s="178">
        <f>$H$16</f>
        <v>60</v>
      </c>
      <c r="L26" s="27">
        <f t="shared" si="1"/>
        <v>0</v>
      </c>
      <c r="M26" s="28"/>
      <c r="N26" s="31">
        <f t="shared" si="2"/>
        <v>1.452</v>
      </c>
      <c r="O26" s="32">
        <f t="shared" si="3"/>
        <v>-1</v>
      </c>
    </row>
    <row r="27" spans="2:15" x14ac:dyDescent="0.25">
      <c r="B27" s="46" t="s">
        <v>66</v>
      </c>
      <c r="C27" s="22"/>
      <c r="D27" s="23" t="s">
        <v>70</v>
      </c>
      <c r="E27" s="24"/>
      <c r="F27" s="25"/>
      <c r="G27" s="178">
        <f>$H$16</f>
        <v>60</v>
      </c>
      <c r="H27" s="27">
        <f t="shared" si="0"/>
        <v>0</v>
      </c>
      <c r="I27" s="28"/>
      <c r="J27" s="29">
        <f>'[4]6. Rate Rider Calculations'!$F$77</f>
        <v>-2.8664083566574554</v>
      </c>
      <c r="K27" s="178">
        <f>$H$16</f>
        <v>60</v>
      </c>
      <c r="L27" s="27">
        <f t="shared" si="1"/>
        <v>-171.98450139944731</v>
      </c>
      <c r="M27" s="28"/>
      <c r="N27" s="31">
        <f t="shared" si="2"/>
        <v>-171.98450139944731</v>
      </c>
      <c r="O27" s="32" t="str">
        <f t="shared" si="3"/>
        <v/>
      </c>
    </row>
    <row r="28" spans="2:15" x14ac:dyDescent="0.25">
      <c r="B28" s="22" t="s">
        <v>19</v>
      </c>
      <c r="C28" s="22"/>
      <c r="D28" s="23" t="s">
        <v>70</v>
      </c>
      <c r="E28" s="24"/>
      <c r="F28" s="25">
        <f>'[2]2014 Existing Rates'!$D$8</f>
        <v>2.0966</v>
      </c>
      <c r="G28" s="178">
        <f>$H$16</f>
        <v>60</v>
      </c>
      <c r="H28" s="27">
        <f t="shared" si="0"/>
        <v>125.79600000000001</v>
      </c>
      <c r="I28" s="28"/>
      <c r="J28" s="29">
        <f>'[2]Rate Schedule '!$E$23</f>
        <v>2.4098000000000002</v>
      </c>
      <c r="K28" s="178">
        <f>$H$16</f>
        <v>60</v>
      </c>
      <c r="L28" s="27">
        <f t="shared" si="1"/>
        <v>144.58800000000002</v>
      </c>
      <c r="M28" s="28"/>
      <c r="N28" s="31">
        <f t="shared" si="2"/>
        <v>18.792000000000016</v>
      </c>
      <c r="O28" s="32">
        <f t="shared" si="3"/>
        <v>0.14938471811504353</v>
      </c>
    </row>
    <row r="29" spans="2:15" hidden="1" x14ac:dyDescent="0.25">
      <c r="B29" s="22" t="s">
        <v>20</v>
      </c>
      <c r="C29" s="22"/>
      <c r="D29" s="23"/>
      <c r="E29" s="24"/>
      <c r="F29" s="25"/>
      <c r="G29" s="26">
        <f>$F$16</f>
        <v>20000</v>
      </c>
      <c r="H29" s="27">
        <f t="shared" si="0"/>
        <v>0</v>
      </c>
      <c r="I29" s="28"/>
      <c r="J29" s="29"/>
      <c r="K29" s="26">
        <f t="shared" ref="K29:K37" si="4">$F$16</f>
        <v>20000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idden="1" x14ac:dyDescent="0.25">
      <c r="B30" s="22" t="s">
        <v>21</v>
      </c>
      <c r="C30" s="22"/>
      <c r="D30" s="23"/>
      <c r="E30" s="24"/>
      <c r="F30" s="25"/>
      <c r="G30" s="26">
        <f>$F$16</f>
        <v>20000</v>
      </c>
      <c r="H30" s="27">
        <f t="shared" si="0"/>
        <v>0</v>
      </c>
      <c r="I30" s="28"/>
      <c r="J30" s="29"/>
      <c r="K30" s="26">
        <f t="shared" si="4"/>
        <v>20000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idden="1" x14ac:dyDescent="0.25">
      <c r="B31" s="33"/>
      <c r="C31" s="22"/>
      <c r="D31" s="23"/>
      <c r="E31" s="24"/>
      <c r="F31" s="25"/>
      <c r="G31" s="26">
        <f t="shared" ref="G31:G37" si="5">$F$16</f>
        <v>20000</v>
      </c>
      <c r="H31" s="27">
        <f t="shared" si="0"/>
        <v>0</v>
      </c>
      <c r="I31" s="28"/>
      <c r="J31" s="29"/>
      <c r="K31" s="26">
        <f t="shared" si="4"/>
        <v>20000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idden="1" x14ac:dyDescent="0.25">
      <c r="B32" s="33"/>
      <c r="C32" s="22"/>
      <c r="D32" s="23"/>
      <c r="E32" s="24"/>
      <c r="F32" s="25"/>
      <c r="G32" s="26">
        <f t="shared" si="5"/>
        <v>20000</v>
      </c>
      <c r="H32" s="27">
        <f t="shared" si="0"/>
        <v>0</v>
      </c>
      <c r="I32" s="28"/>
      <c r="J32" s="29"/>
      <c r="K32" s="26">
        <f t="shared" si="4"/>
        <v>20000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idden="1" x14ac:dyDescent="0.25">
      <c r="B33" s="33"/>
      <c r="C33" s="22"/>
      <c r="D33" s="23"/>
      <c r="E33" s="24"/>
      <c r="F33" s="25"/>
      <c r="G33" s="26">
        <f t="shared" si="5"/>
        <v>20000</v>
      </c>
      <c r="H33" s="27">
        <f t="shared" si="0"/>
        <v>0</v>
      </c>
      <c r="I33" s="28"/>
      <c r="J33" s="29"/>
      <c r="K33" s="26">
        <f t="shared" si="4"/>
        <v>20000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idden="1" x14ac:dyDescent="0.25">
      <c r="B34" s="33"/>
      <c r="C34" s="22"/>
      <c r="D34" s="23"/>
      <c r="E34" s="24"/>
      <c r="F34" s="25"/>
      <c r="G34" s="26">
        <f t="shared" si="5"/>
        <v>20000</v>
      </c>
      <c r="H34" s="27">
        <f t="shared" si="0"/>
        <v>0</v>
      </c>
      <c r="I34" s="28"/>
      <c r="J34" s="29"/>
      <c r="K34" s="26">
        <f t="shared" si="4"/>
        <v>20000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idden="1" x14ac:dyDescent="0.25">
      <c r="B35" s="33"/>
      <c r="C35" s="22"/>
      <c r="D35" s="23"/>
      <c r="E35" s="24"/>
      <c r="F35" s="25"/>
      <c r="G35" s="26">
        <f t="shared" si="5"/>
        <v>20000</v>
      </c>
      <c r="H35" s="27">
        <f t="shared" si="0"/>
        <v>0</v>
      </c>
      <c r="I35" s="28"/>
      <c r="J35" s="29"/>
      <c r="K35" s="26">
        <f t="shared" si="4"/>
        <v>20000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idden="1" x14ac:dyDescent="0.25">
      <c r="B36" s="33"/>
      <c r="C36" s="22"/>
      <c r="D36" s="23"/>
      <c r="E36" s="24"/>
      <c r="F36" s="25"/>
      <c r="G36" s="26">
        <f t="shared" si="5"/>
        <v>20000</v>
      </c>
      <c r="H36" s="27">
        <f t="shared" si="0"/>
        <v>0</v>
      </c>
      <c r="I36" s="28"/>
      <c r="J36" s="29"/>
      <c r="K36" s="26">
        <f t="shared" si="4"/>
        <v>20000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hidden="1" x14ac:dyDescent="0.25">
      <c r="B37" s="33"/>
      <c r="C37" s="22"/>
      <c r="D37" s="23"/>
      <c r="E37" s="24"/>
      <c r="F37" s="25"/>
      <c r="G37" s="26">
        <f t="shared" si="5"/>
        <v>20000</v>
      </c>
      <c r="H37" s="27">
        <f t="shared" si="0"/>
        <v>0</v>
      </c>
      <c r="I37" s="28"/>
      <c r="J37" s="29"/>
      <c r="K37" s="26">
        <f t="shared" si="4"/>
        <v>20000</v>
      </c>
      <c r="L37" s="27">
        <f t="shared" si="1"/>
        <v>0</v>
      </c>
      <c r="M37" s="28"/>
      <c r="N37" s="31">
        <f t="shared" si="2"/>
        <v>0</v>
      </c>
      <c r="O37" s="32" t="str">
        <f t="shared" si="3"/>
        <v/>
      </c>
    </row>
    <row r="38" spans="2:15" s="34" customFormat="1" x14ac:dyDescent="0.25">
      <c r="B38" s="35" t="s">
        <v>22</v>
      </c>
      <c r="C38" s="36"/>
      <c r="D38" s="37"/>
      <c r="E38" s="36"/>
      <c r="F38" s="38"/>
      <c r="G38" s="39"/>
      <c r="H38" s="40">
        <f>SUM(H21:H37)</f>
        <v>418.31400000000002</v>
      </c>
      <c r="I38" s="41"/>
      <c r="J38" s="42"/>
      <c r="K38" s="43"/>
      <c r="L38" s="40">
        <f>SUM(L21:L37)</f>
        <v>318.72290754782108</v>
      </c>
      <c r="M38" s="41"/>
      <c r="N38" s="44">
        <f t="shared" si="2"/>
        <v>-99.591092452178941</v>
      </c>
      <c r="O38" s="45">
        <f t="shared" si="3"/>
        <v>-0.23807735923774709</v>
      </c>
    </row>
    <row r="39" spans="2:15" x14ac:dyDescent="0.25">
      <c r="B39" s="46" t="s">
        <v>23</v>
      </c>
      <c r="C39" s="22"/>
      <c r="D39" s="56" t="s">
        <v>70</v>
      </c>
      <c r="E39" s="57"/>
      <c r="F39" s="29">
        <v>-0.72409999999999997</v>
      </c>
      <c r="G39" s="178">
        <f>G28</f>
        <v>60</v>
      </c>
      <c r="H39" s="27">
        <f t="shared" ref="H39:H45" si="6">G39*F39</f>
        <v>-43.445999999999998</v>
      </c>
      <c r="I39" s="28"/>
      <c r="J39" s="29">
        <f>'[4]6. Rate Rider Calculations'!$F$22</f>
        <v>0.5491175066874534</v>
      </c>
      <c r="K39" s="178">
        <f>H16</f>
        <v>60</v>
      </c>
      <c r="L39" s="27">
        <f t="shared" ref="L39:L45" si="7">K39*J39</f>
        <v>32.947050401247203</v>
      </c>
      <c r="M39" s="28"/>
      <c r="N39" s="31">
        <f t="shared" ref="N39:N45" si="8">L39-H39</f>
        <v>76.393050401247194</v>
      </c>
      <c r="O39" s="32">
        <f t="shared" ref="O39:O44" si="9">IF((H39)=0,"",(N39/H39))</f>
        <v>-1.7583448511082078</v>
      </c>
    </row>
    <row r="40" spans="2:15" hidden="1" x14ac:dyDescent="0.25">
      <c r="B40" s="46"/>
      <c r="C40" s="22"/>
      <c r="D40" s="23" t="s">
        <v>70</v>
      </c>
      <c r="E40" s="24"/>
      <c r="F40" s="25"/>
      <c r="G40" s="178">
        <f>H16</f>
        <v>60</v>
      </c>
      <c r="H40" s="27">
        <f t="shared" si="6"/>
        <v>0</v>
      </c>
      <c r="I40" s="47"/>
      <c r="J40" s="29"/>
      <c r="K40" s="178">
        <f>H16</f>
        <v>60</v>
      </c>
      <c r="L40" s="27">
        <f t="shared" si="7"/>
        <v>0</v>
      </c>
      <c r="M40" s="48"/>
      <c r="N40" s="31">
        <f t="shared" si="8"/>
        <v>0</v>
      </c>
      <c r="O40" s="32" t="str">
        <f t="shared" si="9"/>
        <v/>
      </c>
    </row>
    <row r="41" spans="2:15" hidden="1" x14ac:dyDescent="0.25">
      <c r="B41" s="46"/>
      <c r="C41" s="22"/>
      <c r="D41" s="23" t="s">
        <v>70</v>
      </c>
      <c r="E41" s="24"/>
      <c r="F41" s="25"/>
      <c r="G41" s="178">
        <f>H16</f>
        <v>60</v>
      </c>
      <c r="H41" s="27">
        <f t="shared" si="6"/>
        <v>0</v>
      </c>
      <c r="I41" s="47"/>
      <c r="J41" s="29"/>
      <c r="K41" s="178">
        <f>H16</f>
        <v>60</v>
      </c>
      <c r="L41" s="27">
        <f t="shared" si="7"/>
        <v>0</v>
      </c>
      <c r="M41" s="48"/>
      <c r="N41" s="31">
        <f t="shared" si="8"/>
        <v>0</v>
      </c>
      <c r="O41" s="32" t="str">
        <f t="shared" si="9"/>
        <v/>
      </c>
    </row>
    <row r="42" spans="2:15" ht="32.25" customHeight="1" x14ac:dyDescent="0.25">
      <c r="B42" s="46" t="s">
        <v>74</v>
      </c>
      <c r="C42" s="22"/>
      <c r="D42" s="56" t="s">
        <v>70</v>
      </c>
      <c r="E42" s="24"/>
      <c r="F42" s="29">
        <v>0.32969999999999999</v>
      </c>
      <c r="G42" s="178">
        <f>H16</f>
        <v>60</v>
      </c>
      <c r="H42" s="27">
        <f t="shared" si="6"/>
        <v>19.782</v>
      </c>
      <c r="I42" s="47"/>
      <c r="J42" s="29">
        <f>'[4]6. Rate Rider Calculations'!$F$49</f>
        <v>0.71861469582309112</v>
      </c>
      <c r="K42" s="178">
        <f>H16</f>
        <v>60</v>
      </c>
      <c r="L42" s="27">
        <f t="shared" si="7"/>
        <v>43.11688174938547</v>
      </c>
      <c r="M42" s="48"/>
      <c r="N42" s="31">
        <f t="shared" si="8"/>
        <v>23.33488174938547</v>
      </c>
      <c r="O42" s="32">
        <f t="shared" si="9"/>
        <v>1.179601746506191</v>
      </c>
    </row>
    <row r="43" spans="2:15" x14ac:dyDescent="0.25">
      <c r="B43" s="49" t="s">
        <v>24</v>
      </c>
      <c r="C43" s="22"/>
      <c r="D43" s="23" t="s">
        <v>70</v>
      </c>
      <c r="E43" s="24"/>
      <c r="F43" s="197">
        <v>1.3899999999999999E-2</v>
      </c>
      <c r="G43" s="178">
        <f>H16</f>
        <v>60</v>
      </c>
      <c r="H43" s="27">
        <f t="shared" si="6"/>
        <v>0.83399999999999996</v>
      </c>
      <c r="I43" s="28"/>
      <c r="J43" s="29">
        <f>'[2]Rate Schedule '!$E$24</f>
        <v>2.58E-2</v>
      </c>
      <c r="K43" s="178">
        <f>H16</f>
        <v>60</v>
      </c>
      <c r="L43" s="27">
        <f t="shared" si="7"/>
        <v>1.548</v>
      </c>
      <c r="M43" s="28"/>
      <c r="N43" s="31">
        <f t="shared" si="8"/>
        <v>0.71400000000000008</v>
      </c>
      <c r="O43" s="32">
        <f t="shared" si="9"/>
        <v>0.85611510791366918</v>
      </c>
    </row>
    <row r="44" spans="2:15" s="34" customFormat="1" x14ac:dyDescent="0.25">
      <c r="B44" s="180" t="s">
        <v>25</v>
      </c>
      <c r="C44" s="24"/>
      <c r="D44" s="181" t="s">
        <v>61</v>
      </c>
      <c r="E44" s="24"/>
      <c r="F44" s="182">
        <f>IF(ISBLANK(D14)=TRUE, 0, IF(D14="TOU", 0.64*$F$54+0.18*$F$55+0.18*$F$56, IF(AND(D14="non-TOU", G58&gt;0), F58,F57)))</f>
        <v>7.4999999999999997E-2</v>
      </c>
      <c r="G44" s="26">
        <f>$F$16*(1+$F$73)-$F$16</f>
        <v>960</v>
      </c>
      <c r="H44" s="183">
        <f t="shared" si="6"/>
        <v>72</v>
      </c>
      <c r="I44" s="57"/>
      <c r="J44" s="184">
        <f>IF(ISBLANK(D14)=TRUE, 0, IF(D14="TOU", 0.64*$F$54+0.18*$F$55+0.18*$F$56, IF(AND(D14="non-TOU", K58&gt;0), J58,J57)))</f>
        <v>7.4999999999999997E-2</v>
      </c>
      <c r="K44" s="26">
        <f>$F$16*(1+$J$73)-$F$16</f>
        <v>942</v>
      </c>
      <c r="L44" s="183">
        <f t="shared" si="7"/>
        <v>70.649999999999991</v>
      </c>
      <c r="M44" s="57"/>
      <c r="N44" s="185">
        <f t="shared" si="8"/>
        <v>-1.3500000000000085</v>
      </c>
      <c r="O44" s="186">
        <f t="shared" si="9"/>
        <v>-1.8750000000000117E-2</v>
      </c>
    </row>
    <row r="45" spans="2:15" x14ac:dyDescent="0.25">
      <c r="B45" s="49" t="s">
        <v>26</v>
      </c>
      <c r="C45" s="22"/>
      <c r="D45" s="23" t="s">
        <v>60</v>
      </c>
      <c r="E45" s="24"/>
      <c r="F45" s="177"/>
      <c r="G45" s="26">
        <v>0</v>
      </c>
      <c r="H45" s="27">
        <f t="shared" si="6"/>
        <v>0</v>
      </c>
      <c r="I45" s="28"/>
      <c r="J45" s="177"/>
      <c r="K45" s="26">
        <v>0</v>
      </c>
      <c r="L45" s="27">
        <f t="shared" si="7"/>
        <v>0</v>
      </c>
      <c r="M45" s="28"/>
      <c r="N45" s="31">
        <f t="shared" si="8"/>
        <v>0</v>
      </c>
      <c r="O45" s="32"/>
    </row>
    <row r="46" spans="2:15" ht="25.5" x14ac:dyDescent="0.25">
      <c r="B46" s="50" t="s">
        <v>27</v>
      </c>
      <c r="C46" s="51"/>
      <c r="D46" s="51"/>
      <c r="E46" s="51"/>
      <c r="F46" s="52"/>
      <c r="G46" s="53"/>
      <c r="H46" s="54">
        <f>SUM(H39:H45)+H38</f>
        <v>467.48400000000004</v>
      </c>
      <c r="I46" s="41"/>
      <c r="J46" s="53"/>
      <c r="K46" s="55"/>
      <c r="L46" s="54">
        <f>SUM(L39:L45)+L38</f>
        <v>466.98483969845375</v>
      </c>
      <c r="M46" s="41"/>
      <c r="N46" s="44">
        <f t="shared" ref="N46:N64" si="10">L46-H46</f>
        <v>-0.49916030154628288</v>
      </c>
      <c r="O46" s="45">
        <f t="shared" ref="O46:O64" si="11">IF((H46)=0,"",(N46/H46))</f>
        <v>-1.0677591137799002E-3</v>
      </c>
    </row>
    <row r="47" spans="2:15" x14ac:dyDescent="0.25">
      <c r="B47" s="28" t="s">
        <v>28</v>
      </c>
      <c r="C47" s="28"/>
      <c r="D47" s="56" t="s">
        <v>70</v>
      </c>
      <c r="E47" s="57"/>
      <c r="F47" s="29">
        <v>2.7265000000000001</v>
      </c>
      <c r="G47" s="58">
        <f>H16</f>
        <v>60</v>
      </c>
      <c r="H47" s="27">
        <f>G47*F47</f>
        <v>163.59</v>
      </c>
      <c r="I47" s="28"/>
      <c r="J47" s="29">
        <f>'[5]13. Final 2015 RTS Rates'!$F$28</f>
        <v>2.8142271720183309</v>
      </c>
      <c r="K47" s="59">
        <f>H16</f>
        <v>60</v>
      </c>
      <c r="L47" s="27">
        <f>K47*J47</f>
        <v>168.85363032109984</v>
      </c>
      <c r="M47" s="28"/>
      <c r="N47" s="31">
        <f t="shared" si="10"/>
        <v>5.2636303210998392</v>
      </c>
      <c r="O47" s="32">
        <f t="shared" si="11"/>
        <v>3.2175746201478325E-2</v>
      </c>
    </row>
    <row r="48" spans="2:15" x14ac:dyDescent="0.25">
      <c r="B48" s="60" t="s">
        <v>29</v>
      </c>
      <c r="C48" s="28"/>
      <c r="D48" s="56" t="s">
        <v>70</v>
      </c>
      <c r="E48" s="57"/>
      <c r="F48" s="29">
        <v>2.0265</v>
      </c>
      <c r="G48" s="58">
        <f>G47</f>
        <v>60</v>
      </c>
      <c r="H48" s="27">
        <f>G48*F48</f>
        <v>121.59</v>
      </c>
      <c r="I48" s="28"/>
      <c r="J48" s="29">
        <f>'[5]13. Final 2015 RTS Rates'!$H$28</f>
        <v>2.0809855933033821</v>
      </c>
      <c r="K48" s="59">
        <f>K47</f>
        <v>60</v>
      </c>
      <c r="L48" s="27">
        <f>K48*J48</f>
        <v>124.85913559820293</v>
      </c>
      <c r="M48" s="28"/>
      <c r="N48" s="31">
        <f t="shared" si="10"/>
        <v>3.2691355982029222</v>
      </c>
      <c r="O48" s="32">
        <f t="shared" si="11"/>
        <v>2.6886549865966957E-2</v>
      </c>
    </row>
    <row r="49" spans="2:19" x14ac:dyDescent="0.25">
      <c r="B49" s="50" t="s">
        <v>30</v>
      </c>
      <c r="C49" s="36"/>
      <c r="D49" s="36"/>
      <c r="E49" s="36"/>
      <c r="F49" s="61"/>
      <c r="G49" s="53"/>
      <c r="H49" s="54">
        <f>SUM(H46:H48)</f>
        <v>752.6640000000001</v>
      </c>
      <c r="I49" s="62"/>
      <c r="J49" s="63"/>
      <c r="K49" s="64"/>
      <c r="L49" s="54">
        <f>SUM(L46:L48)</f>
        <v>760.69760561775649</v>
      </c>
      <c r="M49" s="62"/>
      <c r="N49" s="44">
        <f t="shared" si="10"/>
        <v>8.0336056177563933</v>
      </c>
      <c r="O49" s="45">
        <f t="shared" si="11"/>
        <v>1.0673561665970993E-2</v>
      </c>
    </row>
    <row r="50" spans="2:19" x14ac:dyDescent="0.25">
      <c r="B50" s="65" t="s">
        <v>31</v>
      </c>
      <c r="C50" s="22"/>
      <c r="D50" s="23" t="s">
        <v>61</v>
      </c>
      <c r="E50" s="24"/>
      <c r="F50" s="66">
        <v>4.4000000000000003E-3</v>
      </c>
      <c r="G50" s="58">
        <f>F16*(1+F73)</f>
        <v>20960</v>
      </c>
      <c r="H50" s="67">
        <f t="shared" ref="H50:H56" si="12">G50*F50</f>
        <v>92.224000000000004</v>
      </c>
      <c r="I50" s="28"/>
      <c r="J50" s="66">
        <v>4.4000000000000003E-3</v>
      </c>
      <c r="K50" s="59">
        <f>F16*(1+J73)</f>
        <v>20942</v>
      </c>
      <c r="L50" s="67">
        <f t="shared" ref="L50:L56" si="13">K50*J50</f>
        <v>92.144800000000004</v>
      </c>
      <c r="M50" s="28"/>
      <c r="N50" s="31">
        <f t="shared" si="10"/>
        <v>-7.9200000000000159E-2</v>
      </c>
      <c r="O50" s="68">
        <f t="shared" si="11"/>
        <v>-8.5877862595420019E-4</v>
      </c>
    </row>
    <row r="51" spans="2:19" x14ac:dyDescent="0.25">
      <c r="B51" s="65" t="s">
        <v>32</v>
      </c>
      <c r="C51" s="22"/>
      <c r="D51" s="23" t="s">
        <v>61</v>
      </c>
      <c r="E51" s="24"/>
      <c r="F51" s="66">
        <v>1.2999999999999999E-3</v>
      </c>
      <c r="G51" s="58">
        <f>G50</f>
        <v>20960</v>
      </c>
      <c r="H51" s="67">
        <f t="shared" si="12"/>
        <v>27.247999999999998</v>
      </c>
      <c r="I51" s="28"/>
      <c r="J51" s="66">
        <v>1.2999999999999999E-3</v>
      </c>
      <c r="K51" s="59">
        <f>K50</f>
        <v>20942</v>
      </c>
      <c r="L51" s="67">
        <f t="shared" si="13"/>
        <v>27.224599999999999</v>
      </c>
      <c r="M51" s="28"/>
      <c r="N51" s="31">
        <f t="shared" si="10"/>
        <v>-2.3399999999998755E-2</v>
      </c>
      <c r="O51" s="68">
        <f t="shared" si="11"/>
        <v>-8.5877862595415291E-4</v>
      </c>
    </row>
    <row r="52" spans="2:19" x14ac:dyDescent="0.25">
      <c r="B52" s="22" t="s">
        <v>33</v>
      </c>
      <c r="C52" s="22"/>
      <c r="D52" s="23" t="s">
        <v>60</v>
      </c>
      <c r="E52" s="24"/>
      <c r="F52" s="176">
        <v>0.25</v>
      </c>
      <c r="G52" s="26">
        <v>1</v>
      </c>
      <c r="H52" s="67">
        <f t="shared" si="12"/>
        <v>0.25</v>
      </c>
      <c r="I52" s="28"/>
      <c r="J52" s="176">
        <v>0.25</v>
      </c>
      <c r="K52" s="30">
        <v>1</v>
      </c>
      <c r="L52" s="67">
        <f t="shared" si="13"/>
        <v>0.25</v>
      </c>
      <c r="M52" s="28"/>
      <c r="N52" s="31">
        <f t="shared" si="10"/>
        <v>0</v>
      </c>
      <c r="O52" s="68">
        <f t="shared" si="11"/>
        <v>0</v>
      </c>
    </row>
    <row r="53" spans="2:19" x14ac:dyDescent="0.25">
      <c r="B53" s="22" t="s">
        <v>34</v>
      </c>
      <c r="C53" s="22"/>
      <c r="D53" s="23" t="s">
        <v>61</v>
      </c>
      <c r="E53" s="24"/>
      <c r="F53" s="66">
        <v>7.0000000000000001E-3</v>
      </c>
      <c r="G53" s="69">
        <f>F16</f>
        <v>20000</v>
      </c>
      <c r="H53" s="67">
        <f t="shared" si="12"/>
        <v>140</v>
      </c>
      <c r="I53" s="28"/>
      <c r="J53" s="66">
        <v>7.0000000000000001E-3</v>
      </c>
      <c r="K53" s="70">
        <f>F16</f>
        <v>20000</v>
      </c>
      <c r="L53" s="67">
        <f t="shared" si="13"/>
        <v>140</v>
      </c>
      <c r="M53" s="28"/>
      <c r="N53" s="31">
        <f t="shared" si="10"/>
        <v>0</v>
      </c>
      <c r="O53" s="68">
        <f t="shared" si="11"/>
        <v>0</v>
      </c>
    </row>
    <row r="54" spans="2:19" ht="15.75" thickBot="1" x14ac:dyDescent="0.3">
      <c r="B54" s="49" t="s">
        <v>73</v>
      </c>
      <c r="C54" s="22"/>
      <c r="D54" s="23" t="s">
        <v>61</v>
      </c>
      <c r="E54" s="24"/>
      <c r="F54" s="66">
        <v>8.2699999999999996E-2</v>
      </c>
      <c r="G54" s="69">
        <f>F16</f>
        <v>20000</v>
      </c>
      <c r="H54" s="67">
        <f t="shared" si="12"/>
        <v>1654</v>
      </c>
      <c r="I54" s="28"/>
      <c r="J54" s="66">
        <v>8.2699999999999996E-2</v>
      </c>
      <c r="K54" s="69">
        <f>G54</f>
        <v>20000</v>
      </c>
      <c r="L54" s="67">
        <f t="shared" si="13"/>
        <v>1654</v>
      </c>
      <c r="M54" s="28"/>
      <c r="N54" s="31">
        <f t="shared" si="10"/>
        <v>0</v>
      </c>
      <c r="O54" s="68">
        <f t="shared" si="11"/>
        <v>0</v>
      </c>
      <c r="S54" s="72"/>
    </row>
    <row r="55" spans="2:19" hidden="1" x14ac:dyDescent="0.25">
      <c r="B55" s="49" t="s">
        <v>36</v>
      </c>
      <c r="C55" s="22"/>
      <c r="D55" s="23"/>
      <c r="E55" s="24"/>
      <c r="F55" s="71">
        <v>0.104</v>
      </c>
      <c r="G55" s="69">
        <v>0</v>
      </c>
      <c r="H55" s="67">
        <f t="shared" si="12"/>
        <v>0</v>
      </c>
      <c r="I55" s="28"/>
      <c r="J55" s="66">
        <v>0.104</v>
      </c>
      <c r="K55" s="69">
        <v>0</v>
      </c>
      <c r="L55" s="67">
        <f t="shared" si="13"/>
        <v>0</v>
      </c>
      <c r="M55" s="28"/>
      <c r="N55" s="31">
        <f t="shared" si="10"/>
        <v>0</v>
      </c>
      <c r="O55" s="68" t="str">
        <f t="shared" si="11"/>
        <v/>
      </c>
      <c r="S55" s="72"/>
    </row>
    <row r="56" spans="2:19" hidden="1" x14ac:dyDescent="0.25">
      <c r="B56" s="12" t="s">
        <v>37</v>
      </c>
      <c r="C56" s="22"/>
      <c r="D56" s="23"/>
      <c r="E56" s="24"/>
      <c r="F56" s="71">
        <v>0.124</v>
      </c>
      <c r="G56" s="69">
        <v>0</v>
      </c>
      <c r="H56" s="67">
        <f t="shared" si="12"/>
        <v>0</v>
      </c>
      <c r="I56" s="28"/>
      <c r="J56" s="66">
        <v>0.124</v>
      </c>
      <c r="K56" s="69">
        <v>0</v>
      </c>
      <c r="L56" s="67">
        <f t="shared" si="13"/>
        <v>0</v>
      </c>
      <c r="M56" s="28"/>
      <c r="N56" s="31">
        <f t="shared" si="10"/>
        <v>0</v>
      </c>
      <c r="O56" s="68" t="str">
        <f t="shared" si="11"/>
        <v/>
      </c>
      <c r="S56" s="72"/>
    </row>
    <row r="57" spans="2:19" s="73" customFormat="1" hidden="1" x14ac:dyDescent="0.2">
      <c r="B57" s="179" t="s">
        <v>38</v>
      </c>
      <c r="C57" s="75"/>
      <c r="D57" s="76"/>
      <c r="E57" s="77"/>
      <c r="F57" s="71">
        <v>7.4999999999999997E-2</v>
      </c>
      <c r="G57" s="78">
        <v>0</v>
      </c>
      <c r="H57" s="67">
        <f>G57*F57</f>
        <v>0</v>
      </c>
      <c r="I57" s="79"/>
      <c r="J57" s="66">
        <v>7.4999999999999997E-2</v>
      </c>
      <c r="K57" s="78">
        <f>G57</f>
        <v>0</v>
      </c>
      <c r="L57" s="67">
        <f>K57*J57</f>
        <v>0</v>
      </c>
      <c r="M57" s="79"/>
      <c r="N57" s="80">
        <f t="shared" si="10"/>
        <v>0</v>
      </c>
      <c r="O57" s="68" t="str">
        <f t="shared" si="11"/>
        <v/>
      </c>
    </row>
    <row r="58" spans="2:19" s="73" customFormat="1" ht="15.75" hidden="1" thickBot="1" x14ac:dyDescent="0.25">
      <c r="B58" s="179" t="s">
        <v>39</v>
      </c>
      <c r="C58" s="75"/>
      <c r="D58" s="76"/>
      <c r="E58" s="77"/>
      <c r="F58" s="71">
        <v>8.7999999999999995E-2</v>
      </c>
      <c r="G58" s="78">
        <v>0</v>
      </c>
      <c r="H58" s="67">
        <f>G58*F58</f>
        <v>0</v>
      </c>
      <c r="I58" s="79"/>
      <c r="J58" s="66">
        <v>8.7999999999999995E-2</v>
      </c>
      <c r="K58" s="78">
        <f>G58</f>
        <v>0</v>
      </c>
      <c r="L58" s="67">
        <f>K58*J58</f>
        <v>0</v>
      </c>
      <c r="M58" s="79"/>
      <c r="N58" s="80">
        <f t="shared" si="10"/>
        <v>0</v>
      </c>
      <c r="O58" s="68" t="str">
        <f t="shared" si="11"/>
        <v/>
      </c>
    </row>
    <row r="59" spans="2:19" ht="15.75" hidden="1" thickBot="1" x14ac:dyDescent="0.3">
      <c r="B59" s="81"/>
      <c r="C59" s="82"/>
      <c r="D59" s="83"/>
      <c r="E59" s="82"/>
      <c r="F59" s="84"/>
      <c r="G59" s="85"/>
      <c r="H59" s="86"/>
      <c r="I59" s="87"/>
      <c r="J59" s="84"/>
      <c r="K59" s="88"/>
      <c r="L59" s="86"/>
      <c r="M59" s="87"/>
      <c r="N59" s="89"/>
      <c r="O59" s="90"/>
    </row>
    <row r="60" spans="2:19" hidden="1" x14ac:dyDescent="0.25">
      <c r="B60" s="91" t="s">
        <v>40</v>
      </c>
      <c r="C60" s="22"/>
      <c r="D60" s="22"/>
      <c r="E60" s="22"/>
      <c r="F60" s="92"/>
      <c r="G60" s="93"/>
      <c r="H60" s="94">
        <f>SUM(H50:H56,H49)</f>
        <v>2666.386</v>
      </c>
      <c r="I60" s="95"/>
      <c r="J60" s="96"/>
      <c r="K60" s="96"/>
      <c r="L60" s="94">
        <f>SUM(L50:L56,L49)</f>
        <v>2674.3170056177564</v>
      </c>
      <c r="M60" s="97"/>
      <c r="N60" s="98">
        <f>L60-H60</f>
        <v>7.9310056177564547</v>
      </c>
      <c r="O60" s="99">
        <f>IF((H60)=0,"",(N60/H60))</f>
        <v>2.9744401664861934E-3</v>
      </c>
      <c r="S60" s="72"/>
    </row>
    <row r="61" spans="2:19" hidden="1" x14ac:dyDescent="0.25">
      <c r="B61" s="100" t="s">
        <v>41</v>
      </c>
      <c r="C61" s="22"/>
      <c r="D61" s="22"/>
      <c r="E61" s="22"/>
      <c r="F61" s="101">
        <v>0.13</v>
      </c>
      <c r="G61" s="102"/>
      <c r="H61" s="103">
        <f>H60*F61</f>
        <v>346.63018</v>
      </c>
      <c r="I61" s="104"/>
      <c r="J61" s="105">
        <v>0.13</v>
      </c>
      <c r="K61" s="104"/>
      <c r="L61" s="106">
        <f>L60*J61</f>
        <v>347.66121073030837</v>
      </c>
      <c r="M61" s="107"/>
      <c r="N61" s="108">
        <f t="shared" si="10"/>
        <v>1.0310307303083732</v>
      </c>
      <c r="O61" s="109">
        <f t="shared" si="11"/>
        <v>2.9744401664862918E-3</v>
      </c>
      <c r="S61" s="72"/>
    </row>
    <row r="62" spans="2:19" hidden="1" x14ac:dyDescent="0.25">
      <c r="B62" s="110" t="s">
        <v>42</v>
      </c>
      <c r="C62" s="22"/>
      <c r="D62" s="22"/>
      <c r="E62" s="22"/>
      <c r="F62" s="111"/>
      <c r="G62" s="102"/>
      <c r="H62" s="103">
        <f>H60+H61</f>
        <v>3013.0161800000001</v>
      </c>
      <c r="I62" s="104"/>
      <c r="J62" s="104"/>
      <c r="K62" s="104"/>
      <c r="L62" s="106">
        <f>L60+L61</f>
        <v>3021.978216348065</v>
      </c>
      <c r="M62" s="107"/>
      <c r="N62" s="108">
        <f t="shared" si="10"/>
        <v>8.9620363480648848</v>
      </c>
      <c r="O62" s="109">
        <f t="shared" si="11"/>
        <v>2.9744401664862233E-3</v>
      </c>
      <c r="S62" s="72"/>
    </row>
    <row r="63" spans="2:19" hidden="1" x14ac:dyDescent="0.25">
      <c r="B63" s="240" t="s">
        <v>43</v>
      </c>
      <c r="C63" s="240"/>
      <c r="D63" s="240"/>
      <c r="E63" s="22"/>
      <c r="F63" s="111"/>
      <c r="G63" s="102"/>
      <c r="H63" s="112">
        <f>ROUND(-H62*10%,2)</f>
        <v>-301.3</v>
      </c>
      <c r="I63" s="104"/>
      <c r="J63" s="104"/>
      <c r="K63" s="104"/>
      <c r="L63" s="113">
        <f>ROUND(-L62*10%,2)</f>
        <v>-302.2</v>
      </c>
      <c r="M63" s="107"/>
      <c r="N63" s="114">
        <f t="shared" si="10"/>
        <v>-0.89999999999997726</v>
      </c>
      <c r="O63" s="115">
        <f t="shared" si="11"/>
        <v>2.9870560902753975E-3</v>
      </c>
    </row>
    <row r="64" spans="2:19" ht="15.75" hidden="1" thickBot="1" x14ac:dyDescent="0.3">
      <c r="B64" s="246" t="s">
        <v>44</v>
      </c>
      <c r="C64" s="246"/>
      <c r="D64" s="246"/>
      <c r="E64" s="116"/>
      <c r="F64" s="117"/>
      <c r="G64" s="118"/>
      <c r="H64" s="119">
        <f>H62+H63</f>
        <v>2711.7161799999999</v>
      </c>
      <c r="I64" s="120"/>
      <c r="J64" s="120"/>
      <c r="K64" s="120"/>
      <c r="L64" s="121">
        <f>L62+L63</f>
        <v>2719.7782163480651</v>
      </c>
      <c r="M64" s="122"/>
      <c r="N64" s="123">
        <f t="shared" si="10"/>
        <v>8.0620363480652486</v>
      </c>
      <c r="O64" s="124">
        <f t="shared" si="11"/>
        <v>2.9730384055403794E-3</v>
      </c>
    </row>
    <row r="65" spans="1:15" s="73" customFormat="1" ht="15.75" thickBot="1" x14ac:dyDescent="0.25">
      <c r="B65" s="125"/>
      <c r="C65" s="126"/>
      <c r="D65" s="127"/>
      <c r="E65" s="126"/>
      <c r="F65" s="84"/>
      <c r="G65" s="128"/>
      <c r="H65" s="86"/>
      <c r="I65" s="129"/>
      <c r="J65" s="84"/>
      <c r="K65" s="130"/>
      <c r="L65" s="86"/>
      <c r="M65" s="129"/>
      <c r="N65" s="131"/>
      <c r="O65" s="90"/>
    </row>
    <row r="66" spans="1:15" s="73" customFormat="1" ht="12.75" x14ac:dyDescent="0.2">
      <c r="B66" s="132" t="s">
        <v>45</v>
      </c>
      <c r="C66" s="75"/>
      <c r="D66" s="75"/>
      <c r="E66" s="75"/>
      <c r="F66" s="133"/>
      <c r="G66" s="134"/>
      <c r="H66" s="135">
        <f>SUM(H54,H49,H50:H53)</f>
        <v>2666.3860000000004</v>
      </c>
      <c r="I66" s="136"/>
      <c r="J66" s="137"/>
      <c r="K66" s="137"/>
      <c r="L66" s="188">
        <f>SUM(L54,L49,L50:L53)</f>
        <v>2674.3170056177564</v>
      </c>
      <c r="M66" s="138"/>
      <c r="N66" s="139">
        <f>L66-H66</f>
        <v>7.931005617756</v>
      </c>
      <c r="O66" s="99">
        <f>IF((H66)=0,"",(N66/H66))</f>
        <v>2.9744401664860221E-3</v>
      </c>
    </row>
    <row r="67" spans="1:15" s="73" customFormat="1" ht="12.75" x14ac:dyDescent="0.2">
      <c r="B67" s="140" t="s">
        <v>41</v>
      </c>
      <c r="C67" s="75"/>
      <c r="D67" s="75"/>
      <c r="E67" s="75"/>
      <c r="F67" s="141">
        <v>0.13</v>
      </c>
      <c r="G67" s="134"/>
      <c r="H67" s="142">
        <f>H66*F67</f>
        <v>346.63018000000005</v>
      </c>
      <c r="I67" s="143"/>
      <c r="J67" s="144">
        <v>0.13</v>
      </c>
      <c r="K67" s="145"/>
      <c r="L67" s="146">
        <f>L66*J67</f>
        <v>347.66121073030837</v>
      </c>
      <c r="M67" s="147"/>
      <c r="N67" s="148">
        <f>L67-H67</f>
        <v>1.0310307303083164</v>
      </c>
      <c r="O67" s="109">
        <f>IF((H67)=0,"",(N67/H67))</f>
        <v>2.974440166486127E-3</v>
      </c>
    </row>
    <row r="68" spans="1:15" s="73" customFormat="1" ht="12.75" x14ac:dyDescent="0.2">
      <c r="B68" s="149" t="s">
        <v>42</v>
      </c>
      <c r="C68" s="75"/>
      <c r="D68" s="75"/>
      <c r="E68" s="75"/>
      <c r="F68" s="150"/>
      <c r="G68" s="151"/>
      <c r="H68" s="142">
        <f>H66+H67</f>
        <v>3013.0161800000005</v>
      </c>
      <c r="I68" s="143"/>
      <c r="J68" s="143"/>
      <c r="K68" s="143"/>
      <c r="L68" s="146">
        <f>L66+L67</f>
        <v>3021.978216348065</v>
      </c>
      <c r="M68" s="147"/>
      <c r="N68" s="148">
        <f>L68-H68</f>
        <v>8.9620363480644301</v>
      </c>
      <c r="O68" s="109">
        <f>IF((H68)=0,"",(N68/H68))</f>
        <v>2.974440166486072E-3</v>
      </c>
    </row>
    <row r="69" spans="1:15" s="73" customFormat="1" ht="12.75" x14ac:dyDescent="0.2">
      <c r="B69" s="241" t="s">
        <v>43</v>
      </c>
      <c r="C69" s="241"/>
      <c r="D69" s="241"/>
      <c r="E69" s="75"/>
      <c r="F69" s="150"/>
      <c r="G69" s="151"/>
      <c r="H69" s="152">
        <f>ROUND(-H68*10%,2)</f>
        <v>-301.3</v>
      </c>
      <c r="I69" s="143"/>
      <c r="J69" s="143"/>
      <c r="K69" s="143"/>
      <c r="L69" s="153">
        <f>ROUND(-L68*10%,2)</f>
        <v>-302.2</v>
      </c>
      <c r="M69" s="147"/>
      <c r="N69" s="154">
        <f>L69-H69</f>
        <v>-0.89999999999997726</v>
      </c>
      <c r="O69" s="115">
        <f>IF((H69)=0,"",(N69/H69))</f>
        <v>2.9870560902753975E-3</v>
      </c>
    </row>
    <row r="70" spans="1:15" s="73" customFormat="1" ht="13.5" thickBot="1" x14ac:dyDescent="0.25">
      <c r="B70" s="233" t="s">
        <v>46</v>
      </c>
      <c r="C70" s="233"/>
      <c r="D70" s="233"/>
      <c r="E70" s="155"/>
      <c r="F70" s="156"/>
      <c r="G70" s="157"/>
      <c r="H70" s="158">
        <f>SUM(H68:H69)</f>
        <v>2711.7161800000003</v>
      </c>
      <c r="I70" s="159"/>
      <c r="J70" s="159"/>
      <c r="K70" s="159"/>
      <c r="L70" s="160">
        <f>SUM(L68:L69)</f>
        <v>2719.7782163480651</v>
      </c>
      <c r="M70" s="161"/>
      <c r="N70" s="162">
        <f>L70-H70</f>
        <v>8.0620363480647939</v>
      </c>
      <c r="O70" s="163">
        <f>IF((H70)=0,"",(N70/H70))</f>
        <v>2.9730384055402116E-3</v>
      </c>
    </row>
    <row r="71" spans="1:15" s="73" customFormat="1" ht="15.75" thickBot="1" x14ac:dyDescent="0.25">
      <c r="B71" s="125"/>
      <c r="C71" s="126"/>
      <c r="D71" s="127"/>
      <c r="E71" s="126"/>
      <c r="F71" s="164"/>
      <c r="G71" s="165"/>
      <c r="H71" s="166"/>
      <c r="I71" s="167"/>
      <c r="J71" s="164"/>
      <c r="K71" s="128"/>
      <c r="L71" s="168"/>
      <c r="M71" s="129"/>
      <c r="N71" s="169"/>
      <c r="O71" s="90"/>
    </row>
    <row r="72" spans="1:15" x14ac:dyDescent="0.25">
      <c r="L72" s="72"/>
    </row>
    <row r="73" spans="1:15" x14ac:dyDescent="0.25">
      <c r="B73" s="13" t="s">
        <v>47</v>
      </c>
      <c r="F73" s="170">
        <v>4.8000000000000001E-2</v>
      </c>
      <c r="J73" s="170">
        <f>'Res (100kWh)'!$J$74</f>
        <v>4.7100000000000003E-2</v>
      </c>
    </row>
    <row r="75" spans="1:15" x14ac:dyDescent="0.25">
      <c r="A75" s="171" t="s">
        <v>48</v>
      </c>
    </row>
    <row r="77" spans="1:15" x14ac:dyDescent="0.25">
      <c r="A77" s="7" t="s">
        <v>49</v>
      </c>
    </row>
    <row r="78" spans="1:15" x14ac:dyDescent="0.25">
      <c r="A78" s="7" t="s">
        <v>50</v>
      </c>
    </row>
    <row r="80" spans="1:15" x14ac:dyDescent="0.25">
      <c r="A80" s="12" t="s">
        <v>51</v>
      </c>
    </row>
    <row r="81" spans="1:2" x14ac:dyDescent="0.25">
      <c r="A81" s="12" t="s">
        <v>52</v>
      </c>
    </row>
    <row r="83" spans="1:2" x14ac:dyDescent="0.25">
      <c r="A83" s="7" t="s">
        <v>53</v>
      </c>
    </row>
    <row r="84" spans="1:2" x14ac:dyDescent="0.25">
      <c r="A84" s="7" t="s">
        <v>54</v>
      </c>
    </row>
    <row r="85" spans="1:2" x14ac:dyDescent="0.25">
      <c r="A85" s="7" t="s">
        <v>55</v>
      </c>
    </row>
    <row r="86" spans="1:2" x14ac:dyDescent="0.25">
      <c r="A86" s="7" t="s">
        <v>56</v>
      </c>
    </row>
    <row r="87" spans="1:2" x14ac:dyDescent="0.25">
      <c r="A87" s="7" t="s">
        <v>57</v>
      </c>
    </row>
    <row r="89" spans="1:2" x14ac:dyDescent="0.25">
      <c r="A89" s="172"/>
      <c r="B89" s="7" t="s">
        <v>58</v>
      </c>
    </row>
  </sheetData>
  <mergeCells count="17">
    <mergeCell ref="B64:D64"/>
    <mergeCell ref="B70:D70"/>
    <mergeCell ref="D19:D20"/>
    <mergeCell ref="N19:N20"/>
    <mergeCell ref="O19:O20"/>
    <mergeCell ref="B63:D63"/>
    <mergeCell ref="B69:D69"/>
    <mergeCell ref="N1:O1"/>
    <mergeCell ref="N2:O2"/>
    <mergeCell ref="F18:H18"/>
    <mergeCell ref="B9:O9"/>
    <mergeCell ref="J18:L18"/>
    <mergeCell ref="N3:O3"/>
    <mergeCell ref="N5:O5"/>
    <mergeCell ref="B8:O8"/>
    <mergeCell ref="N18:O18"/>
    <mergeCell ref="D12:O12"/>
  </mergeCells>
  <dataValidations count="4">
    <dataValidation type="list" allowBlank="1" showInputMessage="1" showErrorMessage="1" sqref="D14">
      <formula1>"TOU, non-TOU"</formula1>
    </dataValidation>
    <dataValidation type="list" allowBlank="1" showInputMessage="1" showErrorMessage="1" sqref="E71 E65 E47:E48 E39:E45 E50:E59 E21:E24 E26:E37">
      <formula1>#REF!</formula1>
    </dataValidation>
    <dataValidation type="list" allowBlank="1" showInputMessage="1" showErrorMessage="1" prompt="Select Charge Unit - monthly, per kWh, per kW" sqref="D47:D48 D39:D45 D65 D50:D59 D71 D21:D37">
      <formula1>"Monthly, per kWh, per kW"</formula1>
    </dataValidation>
    <dataValidation type="list" allowBlank="1" showInputMessage="1" showErrorMessage="1" sqref="E25">
      <formula1>#REF!</formula1>
    </dataValidation>
  </dataValidations>
  <pageMargins left="0.7" right="0.7" top="0.75" bottom="0.75" header="0.3" footer="0.3"/>
  <pageSetup scale="58" fitToHeight="0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>
    <tabColor theme="0" tint="-0.14999847407452621"/>
    <pageSetUpPr fitToPage="1"/>
  </sheetPr>
  <dimension ref="A1:T89"/>
  <sheetViews>
    <sheetView showGridLines="0" workbookViewId="0">
      <selection activeCell="L1" sqref="L1:O5"/>
    </sheetView>
  </sheetViews>
  <sheetFormatPr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8.5703125" style="7" customWidth="1"/>
    <col min="8" max="8" width="11.5703125" style="7" bestFit="1" customWidth="1"/>
    <col min="9" max="9" width="2.85546875" style="7" customWidth="1"/>
    <col min="10" max="10" width="12.140625" style="7" customWidth="1"/>
    <col min="11" max="11" width="8.5703125" style="7" customWidth="1"/>
    <col min="12" max="12" width="11.5703125" style="7" bestFit="1" customWidth="1"/>
    <col min="13" max="13" width="2.85546875" style="7" customWidth="1"/>
    <col min="14" max="14" width="12.7109375" style="7" bestFit="1" customWidth="1"/>
    <col min="15" max="15" width="10.85546875" style="7" bestFit="1" customWidth="1"/>
    <col min="16" max="16" width="10.14062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21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248" t="str">
        <f>'Res (100kWh)'!$N$1:$O$1</f>
        <v>EB-2014-0099</v>
      </c>
      <c r="O1" s="248"/>
      <c r="P1" s="190"/>
      <c r="T1" s="2">
        <v>1</v>
      </c>
    </row>
    <row r="2" spans="1:20" s="2" customFormat="1" ht="18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94</v>
      </c>
      <c r="N2" s="249">
        <f>'Res (100kWh)'!$N$2:$O$2</f>
        <v>8</v>
      </c>
      <c r="O2" s="249"/>
      <c r="P2" s="191"/>
    </row>
    <row r="3" spans="1:20" s="2" customFormat="1" ht="15.75" x14ac:dyDescent="0.25">
      <c r="C3" s="6"/>
      <c r="D3" s="6"/>
      <c r="E3" s="6"/>
      <c r="L3" s="3" t="s">
        <v>95</v>
      </c>
      <c r="N3" s="248" t="str">
        <f>'Res (100kWh)'!$N$3:$O$3</f>
        <v>8-B</v>
      </c>
      <c r="O3" s="248"/>
      <c r="P3" s="190"/>
    </row>
    <row r="4" spans="1:20" s="2" customFormat="1" x14ac:dyDescent="0.25">
      <c r="L4" s="3"/>
      <c r="N4" s="232"/>
      <c r="O4"/>
      <c r="P4" s="192"/>
    </row>
    <row r="5" spans="1:20" s="2" customFormat="1" x14ac:dyDescent="0.25">
      <c r="L5" s="3" t="s">
        <v>75</v>
      </c>
      <c r="N5" s="248">
        <f>'Res (100kWh)'!$N$5:$O$5</f>
        <v>42118</v>
      </c>
      <c r="O5" s="248"/>
      <c r="P5" s="193"/>
    </row>
    <row r="6" spans="1:20" s="2" customFormat="1" x14ac:dyDescent="0.25">
      <c r="N6" s="7"/>
      <c r="O6"/>
      <c r="P6"/>
    </row>
    <row r="7" spans="1:20" x14ac:dyDescent="0.25">
      <c r="L7"/>
      <c r="M7"/>
      <c r="N7"/>
      <c r="O7"/>
      <c r="P7"/>
    </row>
    <row r="8" spans="1:20" ht="18" x14ac:dyDescent="0.25">
      <c r="B8" s="247" t="s">
        <v>1</v>
      </c>
      <c r="C8" s="247"/>
      <c r="D8" s="247"/>
      <c r="E8" s="247"/>
      <c r="F8" s="247"/>
      <c r="G8" s="247"/>
      <c r="H8" s="247"/>
      <c r="I8" s="247"/>
      <c r="J8" s="247"/>
      <c r="K8" s="247"/>
      <c r="L8" s="247"/>
      <c r="M8" s="247"/>
      <c r="N8" s="247"/>
      <c r="O8" s="247"/>
      <c r="P8"/>
    </row>
    <row r="9" spans="1:20" ht="18" x14ac:dyDescent="0.25">
      <c r="B9" s="247" t="s">
        <v>2</v>
      </c>
      <c r="C9" s="247"/>
      <c r="D9" s="247"/>
      <c r="E9" s="247"/>
      <c r="F9" s="247"/>
      <c r="G9" s="247"/>
      <c r="H9" s="247"/>
      <c r="I9" s="247"/>
      <c r="J9" s="247"/>
      <c r="K9" s="247"/>
      <c r="L9" s="247"/>
      <c r="M9" s="247"/>
      <c r="N9" s="247"/>
      <c r="O9" s="247"/>
      <c r="P9"/>
    </row>
    <row r="10" spans="1:20" x14ac:dyDescent="0.25">
      <c r="L10"/>
      <c r="M10"/>
      <c r="N10"/>
      <c r="O10"/>
      <c r="P10"/>
    </row>
    <row r="11" spans="1:20" x14ac:dyDescent="0.25">
      <c r="L11"/>
      <c r="M11"/>
      <c r="N11"/>
      <c r="O11"/>
      <c r="P11"/>
    </row>
    <row r="12" spans="1:20" ht="15.75" x14ac:dyDescent="0.25">
      <c r="B12" s="8" t="s">
        <v>3</v>
      </c>
      <c r="D12" s="242" t="s">
        <v>87</v>
      </c>
      <c r="E12" s="242"/>
      <c r="F12" s="242"/>
      <c r="G12" s="242"/>
      <c r="H12" s="242"/>
      <c r="I12" s="242"/>
      <c r="J12" s="242"/>
      <c r="K12" s="242"/>
      <c r="L12" s="242"/>
      <c r="M12" s="242"/>
      <c r="N12" s="242"/>
      <c r="O12" s="242"/>
    </row>
    <row r="13" spans="1:20" ht="15.75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68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x14ac:dyDescent="0.25">
      <c r="B16" s="12"/>
      <c r="D16" s="13" t="s">
        <v>6</v>
      </c>
      <c r="E16" s="13"/>
      <c r="F16" s="14">
        <v>40000</v>
      </c>
      <c r="G16" s="13" t="s">
        <v>7</v>
      </c>
      <c r="H16" s="14">
        <v>100</v>
      </c>
      <c r="I16" s="13" t="s">
        <v>69</v>
      </c>
    </row>
    <row r="17" spans="2:15" x14ac:dyDescent="0.25">
      <c r="B17" s="12"/>
    </row>
    <row r="18" spans="2:15" x14ac:dyDescent="0.25">
      <c r="B18" s="12"/>
      <c r="D18" s="15"/>
      <c r="E18" s="15"/>
      <c r="F18" s="243" t="s">
        <v>8</v>
      </c>
      <c r="G18" s="244"/>
      <c r="H18" s="245"/>
      <c r="J18" s="243" t="s">
        <v>9</v>
      </c>
      <c r="K18" s="244"/>
      <c r="L18" s="245"/>
      <c r="N18" s="243" t="s">
        <v>10</v>
      </c>
      <c r="O18" s="245"/>
    </row>
    <row r="19" spans="2:15" x14ac:dyDescent="0.25">
      <c r="B19" s="12"/>
      <c r="D19" s="234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236" t="s">
        <v>15</v>
      </c>
      <c r="O19" s="238" t="s">
        <v>16</v>
      </c>
    </row>
    <row r="20" spans="2:15" x14ac:dyDescent="0.25">
      <c r="B20" s="12"/>
      <c r="D20" s="235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237"/>
      <c r="O20" s="239"/>
    </row>
    <row r="21" spans="2:15" x14ac:dyDescent="0.25">
      <c r="B21" s="22" t="s">
        <v>18</v>
      </c>
      <c r="C21" s="22"/>
      <c r="D21" s="23" t="s">
        <v>60</v>
      </c>
      <c r="E21" s="24"/>
      <c r="F21" s="174">
        <f>'[2]2014 Existing Rates'!$C$8</f>
        <v>293.97000000000003</v>
      </c>
      <c r="G21" s="26">
        <v>1</v>
      </c>
      <c r="H21" s="27">
        <f>G21*F21</f>
        <v>293.97000000000003</v>
      </c>
      <c r="I21" s="28"/>
      <c r="J21" s="173">
        <f>'[2]Rate Schedule '!$E$22</f>
        <v>341.7</v>
      </c>
      <c r="K21" s="30">
        <v>1</v>
      </c>
      <c r="L21" s="27">
        <f>K21*J21</f>
        <v>341.7</v>
      </c>
      <c r="M21" s="28"/>
      <c r="N21" s="31">
        <f>L21-H21</f>
        <v>47.729999999999961</v>
      </c>
      <c r="O21" s="32">
        <f>IF((H21)=0,"",(N21/H21))</f>
        <v>0.16236350648025294</v>
      </c>
    </row>
    <row r="22" spans="2:15" ht="30" x14ac:dyDescent="0.25">
      <c r="B22" s="65" t="s">
        <v>80</v>
      </c>
      <c r="C22" s="22"/>
      <c r="D22" s="56" t="s">
        <v>60</v>
      </c>
      <c r="E22" s="24"/>
      <c r="F22" s="173"/>
      <c r="G22" s="26">
        <v>1</v>
      </c>
      <c r="H22" s="27">
        <f t="shared" ref="H22:H37" si="0">G22*F22</f>
        <v>0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0</v>
      </c>
      <c r="O22" s="32" t="str">
        <f>IF((H22)=0,"",(N22/H22))</f>
        <v/>
      </c>
    </row>
    <row r="23" spans="2:15" hidden="1" x14ac:dyDescent="0.25">
      <c r="B23" s="175"/>
      <c r="C23" s="22"/>
      <c r="D23" s="56" t="s">
        <v>60</v>
      </c>
      <c r="E23" s="57"/>
      <c r="F23" s="173"/>
      <c r="G23" s="26">
        <v>1</v>
      </c>
      <c r="H23" s="27">
        <f t="shared" si="0"/>
        <v>0</v>
      </c>
      <c r="I23" s="28"/>
      <c r="J23" s="29"/>
      <c r="K23" s="30">
        <v>1</v>
      </c>
      <c r="L23" s="27">
        <f t="shared" ref="L23:L37" si="1">K23*J23</f>
        <v>0</v>
      </c>
      <c r="M23" s="28"/>
      <c r="N23" s="31">
        <f t="shared" ref="N23:N64" si="2">L23-H23</f>
        <v>0</v>
      </c>
      <c r="O23" s="32" t="str">
        <f t="shared" ref="O23:O44" si="3">IF((H23)=0,"",(N23/H23))</f>
        <v/>
      </c>
    </row>
    <row r="24" spans="2:15" hidden="1" x14ac:dyDescent="0.25">
      <c r="B24" s="175"/>
      <c r="C24" s="22"/>
      <c r="D24" s="56" t="s">
        <v>60</v>
      </c>
      <c r="E24" s="24"/>
      <c r="F24" s="25"/>
      <c r="G24" s="26">
        <v>1</v>
      </c>
      <c r="H24" s="27">
        <f t="shared" si="0"/>
        <v>0</v>
      </c>
      <c r="I24" s="28"/>
      <c r="J24" s="173"/>
      <c r="K24" s="30">
        <v>1</v>
      </c>
      <c r="L24" s="27">
        <f t="shared" si="1"/>
        <v>0</v>
      </c>
      <c r="M24" s="28"/>
      <c r="N24" s="31">
        <f t="shared" si="2"/>
        <v>0</v>
      </c>
      <c r="O24" s="32" t="str">
        <f t="shared" si="3"/>
        <v/>
      </c>
    </row>
    <row r="25" spans="2:15" x14ac:dyDescent="0.25">
      <c r="B25" s="175" t="s">
        <v>88</v>
      </c>
      <c r="C25" s="22"/>
      <c r="D25" s="23" t="s">
        <v>70</v>
      </c>
      <c r="E25" s="24"/>
      <c r="F25" s="25"/>
      <c r="G25" s="178">
        <f>$H$16</f>
        <v>100</v>
      </c>
      <c r="H25" s="27">
        <f t="shared" si="0"/>
        <v>0</v>
      </c>
      <c r="I25" s="28"/>
      <c r="J25" s="29">
        <f>'[4]6. Rate Rider Calculations'!$F$105</f>
        <v>7.3656815787806224E-2</v>
      </c>
      <c r="K25" s="178">
        <f>$H$16</f>
        <v>100</v>
      </c>
      <c r="L25" s="27">
        <f t="shared" si="1"/>
        <v>7.365681578780622</v>
      </c>
      <c r="M25" s="28"/>
      <c r="N25" s="31">
        <f t="shared" si="2"/>
        <v>7.365681578780622</v>
      </c>
      <c r="O25" s="32" t="str">
        <f t="shared" si="3"/>
        <v/>
      </c>
    </row>
    <row r="26" spans="2:15" x14ac:dyDescent="0.25">
      <c r="B26" s="46" t="s">
        <v>65</v>
      </c>
      <c r="C26" s="22"/>
      <c r="D26" s="23" t="s">
        <v>70</v>
      </c>
      <c r="E26" s="24"/>
      <c r="F26" s="25">
        <v>-2.4199999999999999E-2</v>
      </c>
      <c r="G26" s="178">
        <f>$H$16</f>
        <v>100</v>
      </c>
      <c r="H26" s="27">
        <f t="shared" si="0"/>
        <v>-2.42</v>
      </c>
      <c r="I26" s="28"/>
      <c r="J26" s="29"/>
      <c r="K26" s="178">
        <f>$H$16</f>
        <v>100</v>
      </c>
      <c r="L26" s="27">
        <f t="shared" si="1"/>
        <v>0</v>
      </c>
      <c r="M26" s="28"/>
      <c r="N26" s="31">
        <f t="shared" si="2"/>
        <v>2.42</v>
      </c>
      <c r="O26" s="32">
        <f t="shared" si="3"/>
        <v>-1</v>
      </c>
    </row>
    <row r="27" spans="2:15" x14ac:dyDescent="0.25">
      <c r="B27" s="46" t="s">
        <v>66</v>
      </c>
      <c r="C27" s="22"/>
      <c r="D27" s="23" t="s">
        <v>70</v>
      </c>
      <c r="E27" s="24"/>
      <c r="F27" s="25"/>
      <c r="G27" s="178">
        <f>$H$16</f>
        <v>100</v>
      </c>
      <c r="H27" s="27">
        <f t="shared" si="0"/>
        <v>0</v>
      </c>
      <c r="I27" s="28"/>
      <c r="J27" s="29">
        <f>'[4]6. Rate Rider Calculations'!$F$77</f>
        <v>-2.8664083566574554</v>
      </c>
      <c r="K27" s="178">
        <f>$H$16</f>
        <v>100</v>
      </c>
      <c r="L27" s="27">
        <f t="shared" si="1"/>
        <v>-286.64083566574556</v>
      </c>
      <c r="M27" s="28"/>
      <c r="N27" s="31">
        <f t="shared" si="2"/>
        <v>-286.64083566574556</v>
      </c>
      <c r="O27" s="32" t="str">
        <f t="shared" si="3"/>
        <v/>
      </c>
    </row>
    <row r="28" spans="2:15" x14ac:dyDescent="0.25">
      <c r="B28" s="22" t="s">
        <v>19</v>
      </c>
      <c r="C28" s="22"/>
      <c r="D28" s="23" t="s">
        <v>70</v>
      </c>
      <c r="E28" s="24"/>
      <c r="F28" s="25">
        <f>'[2]2014 Existing Rates'!$D$8</f>
        <v>2.0966</v>
      </c>
      <c r="G28" s="178">
        <f>$H$16</f>
        <v>100</v>
      </c>
      <c r="H28" s="27">
        <f t="shared" si="0"/>
        <v>209.66</v>
      </c>
      <c r="I28" s="28"/>
      <c r="J28" s="29">
        <f>'[2]Rate Schedule '!$E$23</f>
        <v>2.4098000000000002</v>
      </c>
      <c r="K28" s="178">
        <f>$H$16</f>
        <v>100</v>
      </c>
      <c r="L28" s="27">
        <f t="shared" si="1"/>
        <v>240.98000000000002</v>
      </c>
      <c r="M28" s="28"/>
      <c r="N28" s="31">
        <f t="shared" si="2"/>
        <v>31.320000000000022</v>
      </c>
      <c r="O28" s="32">
        <f t="shared" si="3"/>
        <v>0.1493847181150435</v>
      </c>
    </row>
    <row r="29" spans="2:15" hidden="1" x14ac:dyDescent="0.25">
      <c r="B29" s="22" t="s">
        <v>20</v>
      </c>
      <c r="C29" s="22"/>
      <c r="D29" s="23"/>
      <c r="E29" s="24"/>
      <c r="F29" s="25"/>
      <c r="G29" s="26">
        <f>$F$16</f>
        <v>40000</v>
      </c>
      <c r="H29" s="27">
        <f t="shared" si="0"/>
        <v>0</v>
      </c>
      <c r="I29" s="28"/>
      <c r="J29" s="29"/>
      <c r="K29" s="26">
        <f t="shared" ref="K29:K37" si="4">$F$16</f>
        <v>40000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idden="1" x14ac:dyDescent="0.25">
      <c r="B30" s="22" t="s">
        <v>21</v>
      </c>
      <c r="C30" s="22"/>
      <c r="D30" s="23"/>
      <c r="E30" s="24"/>
      <c r="F30" s="25"/>
      <c r="G30" s="26">
        <f>$F$16</f>
        <v>40000</v>
      </c>
      <c r="H30" s="27">
        <f t="shared" si="0"/>
        <v>0</v>
      </c>
      <c r="I30" s="28"/>
      <c r="J30" s="29"/>
      <c r="K30" s="26">
        <f t="shared" si="4"/>
        <v>40000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idden="1" x14ac:dyDescent="0.25">
      <c r="B31" s="33"/>
      <c r="C31" s="22"/>
      <c r="D31" s="23"/>
      <c r="E31" s="24"/>
      <c r="F31" s="25"/>
      <c r="G31" s="26">
        <f t="shared" ref="G31:G37" si="5">$F$16</f>
        <v>40000</v>
      </c>
      <c r="H31" s="27">
        <f t="shared" si="0"/>
        <v>0</v>
      </c>
      <c r="I31" s="28"/>
      <c r="J31" s="29"/>
      <c r="K31" s="26">
        <f t="shared" si="4"/>
        <v>40000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idden="1" x14ac:dyDescent="0.25">
      <c r="B32" s="33"/>
      <c r="C32" s="22"/>
      <c r="D32" s="23"/>
      <c r="E32" s="24"/>
      <c r="F32" s="25"/>
      <c r="G32" s="26">
        <f t="shared" si="5"/>
        <v>40000</v>
      </c>
      <c r="H32" s="27">
        <f t="shared" si="0"/>
        <v>0</v>
      </c>
      <c r="I32" s="28"/>
      <c r="J32" s="29"/>
      <c r="K32" s="26">
        <f t="shared" si="4"/>
        <v>40000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idden="1" x14ac:dyDescent="0.25">
      <c r="B33" s="33"/>
      <c r="C33" s="22"/>
      <c r="D33" s="23"/>
      <c r="E33" s="24"/>
      <c r="F33" s="25"/>
      <c r="G33" s="26">
        <f t="shared" si="5"/>
        <v>40000</v>
      </c>
      <c r="H33" s="27">
        <f t="shared" si="0"/>
        <v>0</v>
      </c>
      <c r="I33" s="28"/>
      <c r="J33" s="29"/>
      <c r="K33" s="26">
        <f t="shared" si="4"/>
        <v>40000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idden="1" x14ac:dyDescent="0.25">
      <c r="B34" s="33"/>
      <c r="C34" s="22"/>
      <c r="D34" s="23"/>
      <c r="E34" s="24"/>
      <c r="F34" s="25"/>
      <c r="G34" s="26">
        <f t="shared" si="5"/>
        <v>40000</v>
      </c>
      <c r="H34" s="27">
        <f t="shared" si="0"/>
        <v>0</v>
      </c>
      <c r="I34" s="28"/>
      <c r="J34" s="29"/>
      <c r="K34" s="26">
        <f t="shared" si="4"/>
        <v>40000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idden="1" x14ac:dyDescent="0.25">
      <c r="B35" s="33"/>
      <c r="C35" s="22"/>
      <c r="D35" s="23"/>
      <c r="E35" s="24"/>
      <c r="F35" s="25"/>
      <c r="G35" s="26">
        <f t="shared" si="5"/>
        <v>40000</v>
      </c>
      <c r="H35" s="27">
        <f t="shared" si="0"/>
        <v>0</v>
      </c>
      <c r="I35" s="28"/>
      <c r="J35" s="29"/>
      <c r="K35" s="26">
        <f t="shared" si="4"/>
        <v>40000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idden="1" x14ac:dyDescent="0.25">
      <c r="B36" s="33"/>
      <c r="C36" s="22"/>
      <c r="D36" s="23"/>
      <c r="E36" s="24"/>
      <c r="F36" s="25"/>
      <c r="G36" s="26">
        <f t="shared" si="5"/>
        <v>40000</v>
      </c>
      <c r="H36" s="27">
        <f t="shared" si="0"/>
        <v>0</v>
      </c>
      <c r="I36" s="28"/>
      <c r="J36" s="29"/>
      <c r="K36" s="26">
        <f t="shared" si="4"/>
        <v>40000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hidden="1" x14ac:dyDescent="0.25">
      <c r="B37" s="33"/>
      <c r="C37" s="22"/>
      <c r="D37" s="23"/>
      <c r="E37" s="24"/>
      <c r="F37" s="25"/>
      <c r="G37" s="26">
        <f t="shared" si="5"/>
        <v>40000</v>
      </c>
      <c r="H37" s="27">
        <f t="shared" si="0"/>
        <v>0</v>
      </c>
      <c r="I37" s="28"/>
      <c r="J37" s="29"/>
      <c r="K37" s="26">
        <f t="shared" si="4"/>
        <v>40000</v>
      </c>
      <c r="L37" s="27">
        <f t="shared" si="1"/>
        <v>0</v>
      </c>
      <c r="M37" s="28"/>
      <c r="N37" s="31">
        <f t="shared" si="2"/>
        <v>0</v>
      </c>
      <c r="O37" s="32" t="str">
        <f t="shared" si="3"/>
        <v/>
      </c>
    </row>
    <row r="38" spans="2:15" s="34" customFormat="1" x14ac:dyDescent="0.25">
      <c r="B38" s="35" t="s">
        <v>22</v>
      </c>
      <c r="C38" s="36"/>
      <c r="D38" s="37"/>
      <c r="E38" s="36"/>
      <c r="F38" s="38"/>
      <c r="G38" s="39"/>
      <c r="H38" s="40">
        <f>SUM(H21:H37)</f>
        <v>501.21000000000004</v>
      </c>
      <c r="I38" s="41"/>
      <c r="J38" s="42"/>
      <c r="K38" s="43"/>
      <c r="L38" s="40">
        <f>SUM(L21:L37)</f>
        <v>303.40484591303505</v>
      </c>
      <c r="M38" s="41"/>
      <c r="N38" s="44">
        <f t="shared" si="2"/>
        <v>-197.80515408696499</v>
      </c>
      <c r="O38" s="45">
        <f t="shared" si="3"/>
        <v>-0.39465524248711115</v>
      </c>
    </row>
    <row r="39" spans="2:15" x14ac:dyDescent="0.25">
      <c r="B39" s="46" t="s">
        <v>23</v>
      </c>
      <c r="C39" s="22"/>
      <c r="D39" s="56" t="s">
        <v>70</v>
      </c>
      <c r="E39" s="57"/>
      <c r="F39" s="29">
        <v>-0.72409999999999997</v>
      </c>
      <c r="G39" s="178">
        <f>G28</f>
        <v>100</v>
      </c>
      <c r="H39" s="27">
        <f t="shared" ref="H39:H45" si="6">G39*F39</f>
        <v>-72.41</v>
      </c>
      <c r="I39" s="28"/>
      <c r="J39" s="29">
        <f>'[4]6. Rate Rider Calculations'!$F$22</f>
        <v>0.5491175066874534</v>
      </c>
      <c r="K39" s="178">
        <f>H16</f>
        <v>100</v>
      </c>
      <c r="L39" s="27">
        <f t="shared" ref="L39:L45" si="7">K39*J39</f>
        <v>54.911750668745341</v>
      </c>
      <c r="M39" s="28"/>
      <c r="N39" s="31">
        <f t="shared" si="2"/>
        <v>127.32175066874534</v>
      </c>
      <c r="O39" s="32">
        <f t="shared" si="3"/>
        <v>-1.758344851108208</v>
      </c>
    </row>
    <row r="40" spans="2:15" hidden="1" x14ac:dyDescent="0.25">
      <c r="B40" s="46"/>
      <c r="C40" s="22"/>
      <c r="D40" s="23" t="s">
        <v>70</v>
      </c>
      <c r="E40" s="24"/>
      <c r="F40" s="25"/>
      <c r="G40" s="178">
        <f>H16</f>
        <v>100</v>
      </c>
      <c r="H40" s="27">
        <f t="shared" si="6"/>
        <v>0</v>
      </c>
      <c r="I40" s="47"/>
      <c r="J40" s="29"/>
      <c r="K40" s="178">
        <f>H16</f>
        <v>100</v>
      </c>
      <c r="L40" s="27">
        <f t="shared" si="7"/>
        <v>0</v>
      </c>
      <c r="M40" s="48"/>
      <c r="N40" s="31">
        <f t="shared" si="2"/>
        <v>0</v>
      </c>
      <c r="O40" s="32" t="str">
        <f t="shared" si="3"/>
        <v/>
      </c>
    </row>
    <row r="41" spans="2:15" hidden="1" x14ac:dyDescent="0.25">
      <c r="B41" s="46"/>
      <c r="C41" s="22"/>
      <c r="D41" s="23" t="s">
        <v>70</v>
      </c>
      <c r="E41" s="24"/>
      <c r="F41" s="25"/>
      <c r="G41" s="178">
        <f>H16</f>
        <v>100</v>
      </c>
      <c r="H41" s="27">
        <f t="shared" si="6"/>
        <v>0</v>
      </c>
      <c r="I41" s="47"/>
      <c r="J41" s="29"/>
      <c r="K41" s="178">
        <f>H16</f>
        <v>100</v>
      </c>
      <c r="L41" s="27">
        <f t="shared" si="7"/>
        <v>0</v>
      </c>
      <c r="M41" s="48"/>
      <c r="N41" s="31">
        <f t="shared" si="2"/>
        <v>0</v>
      </c>
      <c r="O41" s="32" t="str">
        <f t="shared" si="3"/>
        <v/>
      </c>
    </row>
    <row r="42" spans="2:15" ht="32.25" customHeight="1" x14ac:dyDescent="0.25">
      <c r="B42" s="46" t="s">
        <v>74</v>
      </c>
      <c r="C42" s="22"/>
      <c r="D42" s="56" t="s">
        <v>70</v>
      </c>
      <c r="E42" s="24"/>
      <c r="F42" s="29">
        <v>0.32969999999999999</v>
      </c>
      <c r="G42" s="178">
        <f>H16</f>
        <v>100</v>
      </c>
      <c r="H42" s="27">
        <f t="shared" si="6"/>
        <v>32.97</v>
      </c>
      <c r="I42" s="47"/>
      <c r="J42" s="29">
        <f>'[4]6. Rate Rider Calculations'!$F$49</f>
        <v>0.71861469582309112</v>
      </c>
      <c r="K42" s="178">
        <f>H16</f>
        <v>100</v>
      </c>
      <c r="L42" s="27">
        <f t="shared" si="7"/>
        <v>71.861469582309113</v>
      </c>
      <c r="M42" s="48"/>
      <c r="N42" s="31">
        <f t="shared" si="2"/>
        <v>38.891469582309114</v>
      </c>
      <c r="O42" s="32">
        <f t="shared" si="3"/>
        <v>1.179601746506191</v>
      </c>
    </row>
    <row r="43" spans="2:15" x14ac:dyDescent="0.25">
      <c r="B43" s="49" t="s">
        <v>24</v>
      </c>
      <c r="C43" s="22"/>
      <c r="D43" s="23" t="s">
        <v>70</v>
      </c>
      <c r="E43" s="24"/>
      <c r="F43" s="197">
        <v>1.3899999999999999E-2</v>
      </c>
      <c r="G43" s="178">
        <f>H16</f>
        <v>100</v>
      </c>
      <c r="H43" s="27">
        <f t="shared" si="6"/>
        <v>1.39</v>
      </c>
      <c r="I43" s="28"/>
      <c r="J43" s="29">
        <f>'[2]Rate Schedule '!$E$24</f>
        <v>2.58E-2</v>
      </c>
      <c r="K43" s="178">
        <f>H16</f>
        <v>100</v>
      </c>
      <c r="L43" s="27">
        <f t="shared" si="7"/>
        <v>2.58</v>
      </c>
      <c r="M43" s="28"/>
      <c r="N43" s="31">
        <f t="shared" si="2"/>
        <v>1.1900000000000002</v>
      </c>
      <c r="O43" s="32">
        <f t="shared" si="3"/>
        <v>0.85611510791366929</v>
      </c>
    </row>
    <row r="44" spans="2:15" s="34" customFormat="1" x14ac:dyDescent="0.25">
      <c r="B44" s="180" t="s">
        <v>25</v>
      </c>
      <c r="C44" s="24"/>
      <c r="D44" s="181" t="s">
        <v>61</v>
      </c>
      <c r="E44" s="24"/>
      <c r="F44" s="182">
        <f>IF(ISBLANK(D14)=TRUE, 0, IF(D14="TOU", 0.64*$F$54+0.18*$F$55+0.18*$F$56, IF(AND(D14="non-TOU", G58&gt;0), F58,F57)))</f>
        <v>7.4999999999999997E-2</v>
      </c>
      <c r="G44" s="26">
        <f>$F$16*(1+$F$73)-$F$16</f>
        <v>1920</v>
      </c>
      <c r="H44" s="183">
        <f t="shared" si="6"/>
        <v>144</v>
      </c>
      <c r="I44" s="57"/>
      <c r="J44" s="184">
        <f>IF(ISBLANK(D14)=TRUE, 0, IF(D14="TOU", 0.64*$F$54+0.18*$F$55+0.18*$F$56, IF(AND(D14="non-TOU", K58&gt;0), J58,J57)))</f>
        <v>7.4999999999999997E-2</v>
      </c>
      <c r="K44" s="26">
        <f>$F$16*(1+$J$73)-$F$16</f>
        <v>1884</v>
      </c>
      <c r="L44" s="183">
        <f t="shared" si="7"/>
        <v>141.29999999999998</v>
      </c>
      <c r="M44" s="57"/>
      <c r="N44" s="185">
        <f t="shared" si="2"/>
        <v>-2.7000000000000171</v>
      </c>
      <c r="O44" s="186">
        <f t="shared" si="3"/>
        <v>-1.8750000000000117E-2</v>
      </c>
    </row>
    <row r="45" spans="2:15" x14ac:dyDescent="0.25">
      <c r="B45" s="49" t="s">
        <v>26</v>
      </c>
      <c r="C45" s="22"/>
      <c r="D45" s="23" t="s">
        <v>60</v>
      </c>
      <c r="E45" s="24"/>
      <c r="F45" s="177"/>
      <c r="G45" s="26">
        <v>0</v>
      </c>
      <c r="H45" s="27">
        <f t="shared" si="6"/>
        <v>0</v>
      </c>
      <c r="I45" s="28"/>
      <c r="J45" s="177"/>
      <c r="K45" s="26">
        <v>0</v>
      </c>
      <c r="L45" s="27">
        <f t="shared" si="7"/>
        <v>0</v>
      </c>
      <c r="M45" s="28"/>
      <c r="N45" s="31">
        <f t="shared" si="2"/>
        <v>0</v>
      </c>
      <c r="O45" s="32"/>
    </row>
    <row r="46" spans="2:15" ht="25.5" x14ac:dyDescent="0.25">
      <c r="B46" s="50" t="s">
        <v>27</v>
      </c>
      <c r="C46" s="51"/>
      <c r="D46" s="51"/>
      <c r="E46" s="51"/>
      <c r="F46" s="52"/>
      <c r="G46" s="53"/>
      <c r="H46" s="54">
        <f>SUM(H39:H45)+H38</f>
        <v>607.16000000000008</v>
      </c>
      <c r="I46" s="41"/>
      <c r="J46" s="53"/>
      <c r="K46" s="55"/>
      <c r="L46" s="54">
        <f>SUM(L39:L45)+L38</f>
        <v>574.0580661640895</v>
      </c>
      <c r="M46" s="41"/>
      <c r="N46" s="44">
        <f t="shared" si="2"/>
        <v>-33.101933835910586</v>
      </c>
      <c r="O46" s="45">
        <f t="shared" ref="O46:O64" si="8">IF((H46)=0,"",(N46/H46))</f>
        <v>-5.4519292832055109E-2</v>
      </c>
    </row>
    <row r="47" spans="2:15" x14ac:dyDescent="0.25">
      <c r="B47" s="28" t="s">
        <v>28</v>
      </c>
      <c r="C47" s="28"/>
      <c r="D47" s="56" t="s">
        <v>70</v>
      </c>
      <c r="E47" s="57"/>
      <c r="F47" s="29">
        <v>2.7265000000000001</v>
      </c>
      <c r="G47" s="58">
        <f>H16</f>
        <v>100</v>
      </c>
      <c r="H47" s="27">
        <f>G47*F47</f>
        <v>272.65000000000003</v>
      </c>
      <c r="I47" s="28"/>
      <c r="J47" s="29">
        <f>'[5]13. Final 2015 RTS Rates'!$F$28</f>
        <v>2.8142271720183309</v>
      </c>
      <c r="K47" s="59">
        <f>H16</f>
        <v>100</v>
      </c>
      <c r="L47" s="27">
        <f>K47*J47</f>
        <v>281.42271720183311</v>
      </c>
      <c r="M47" s="28"/>
      <c r="N47" s="31">
        <f t="shared" si="2"/>
        <v>8.7727172018330748</v>
      </c>
      <c r="O47" s="32">
        <f t="shared" si="8"/>
        <v>3.2175746201478353E-2</v>
      </c>
    </row>
    <row r="48" spans="2:15" x14ac:dyDescent="0.25">
      <c r="B48" s="60" t="s">
        <v>29</v>
      </c>
      <c r="C48" s="28"/>
      <c r="D48" s="56" t="s">
        <v>70</v>
      </c>
      <c r="E48" s="57"/>
      <c r="F48" s="29">
        <v>2.0265</v>
      </c>
      <c r="G48" s="58">
        <f>G47</f>
        <v>100</v>
      </c>
      <c r="H48" s="27">
        <f>G48*F48</f>
        <v>202.65</v>
      </c>
      <c r="I48" s="28"/>
      <c r="J48" s="29">
        <f>'[5]13. Final 2015 RTS Rates'!$H$28</f>
        <v>2.0809855933033821</v>
      </c>
      <c r="K48" s="59">
        <f>K47</f>
        <v>100</v>
      </c>
      <c r="L48" s="27">
        <f>K48*J48</f>
        <v>208.09855933033822</v>
      </c>
      <c r="M48" s="28"/>
      <c r="N48" s="31">
        <f t="shared" si="2"/>
        <v>5.4485593303382132</v>
      </c>
      <c r="O48" s="32">
        <f t="shared" si="8"/>
        <v>2.6886549865967002E-2</v>
      </c>
    </row>
    <row r="49" spans="2:19" x14ac:dyDescent="0.25">
      <c r="B49" s="50" t="s">
        <v>30</v>
      </c>
      <c r="C49" s="36"/>
      <c r="D49" s="36"/>
      <c r="E49" s="36"/>
      <c r="F49" s="61"/>
      <c r="G49" s="53"/>
      <c r="H49" s="54">
        <f>SUM(H46:H48)</f>
        <v>1082.4600000000003</v>
      </c>
      <c r="I49" s="62"/>
      <c r="J49" s="63"/>
      <c r="K49" s="64"/>
      <c r="L49" s="54">
        <f>SUM(L46:L48)</f>
        <v>1063.5793426962609</v>
      </c>
      <c r="M49" s="62"/>
      <c r="N49" s="44">
        <f t="shared" si="2"/>
        <v>-18.880657303739326</v>
      </c>
      <c r="O49" s="45">
        <f t="shared" si="8"/>
        <v>-1.7442360275427563E-2</v>
      </c>
    </row>
    <row r="50" spans="2:19" x14ac:dyDescent="0.25">
      <c r="B50" s="65" t="s">
        <v>31</v>
      </c>
      <c r="C50" s="22"/>
      <c r="D50" s="23" t="s">
        <v>61</v>
      </c>
      <c r="E50" s="24"/>
      <c r="F50" s="66">
        <v>4.4000000000000003E-3</v>
      </c>
      <c r="G50" s="58">
        <f>F16*(1+F73)</f>
        <v>41920</v>
      </c>
      <c r="H50" s="67">
        <f t="shared" ref="H50:H56" si="9">G50*F50</f>
        <v>184.44800000000001</v>
      </c>
      <c r="I50" s="28"/>
      <c r="J50" s="66">
        <v>4.4000000000000003E-3</v>
      </c>
      <c r="K50" s="59">
        <f>F16*(1+J73)</f>
        <v>41884</v>
      </c>
      <c r="L50" s="67">
        <f t="shared" ref="L50:L56" si="10">K50*J50</f>
        <v>184.28960000000001</v>
      </c>
      <c r="M50" s="28"/>
      <c r="N50" s="31">
        <f t="shared" si="2"/>
        <v>-0.15840000000000032</v>
      </c>
      <c r="O50" s="68">
        <f t="shared" si="8"/>
        <v>-8.5877862595420019E-4</v>
      </c>
    </row>
    <row r="51" spans="2:19" x14ac:dyDescent="0.25">
      <c r="B51" s="65" t="s">
        <v>32</v>
      </c>
      <c r="C51" s="22"/>
      <c r="D51" s="23" t="s">
        <v>61</v>
      </c>
      <c r="E51" s="24"/>
      <c r="F51" s="66">
        <v>1.2999999999999999E-3</v>
      </c>
      <c r="G51" s="58">
        <f>G50</f>
        <v>41920</v>
      </c>
      <c r="H51" s="67">
        <f t="shared" si="9"/>
        <v>54.495999999999995</v>
      </c>
      <c r="I51" s="28"/>
      <c r="J51" s="66">
        <v>1.2999999999999999E-3</v>
      </c>
      <c r="K51" s="59">
        <f>K50</f>
        <v>41884</v>
      </c>
      <c r="L51" s="67">
        <f t="shared" si="10"/>
        <v>54.449199999999998</v>
      </c>
      <c r="M51" s="28"/>
      <c r="N51" s="31">
        <f t="shared" si="2"/>
        <v>-4.679999999999751E-2</v>
      </c>
      <c r="O51" s="68">
        <f t="shared" si="8"/>
        <v>-8.5877862595415291E-4</v>
      </c>
    </row>
    <row r="52" spans="2:19" x14ac:dyDescent="0.25">
      <c r="B52" s="22" t="s">
        <v>33</v>
      </c>
      <c r="C52" s="22"/>
      <c r="D52" s="23" t="s">
        <v>60</v>
      </c>
      <c r="E52" s="24"/>
      <c r="F52" s="176">
        <v>0.25</v>
      </c>
      <c r="G52" s="26">
        <v>1</v>
      </c>
      <c r="H52" s="67">
        <f t="shared" si="9"/>
        <v>0.25</v>
      </c>
      <c r="I52" s="28"/>
      <c r="J52" s="176">
        <v>0.25</v>
      </c>
      <c r="K52" s="30">
        <v>1</v>
      </c>
      <c r="L52" s="67">
        <f t="shared" si="10"/>
        <v>0.25</v>
      </c>
      <c r="M52" s="28"/>
      <c r="N52" s="31">
        <f t="shared" si="2"/>
        <v>0</v>
      </c>
      <c r="O52" s="68">
        <f t="shared" si="8"/>
        <v>0</v>
      </c>
    </row>
    <row r="53" spans="2:19" x14ac:dyDescent="0.25">
      <c r="B53" s="22" t="s">
        <v>34</v>
      </c>
      <c r="C53" s="22"/>
      <c r="D53" s="23" t="s">
        <v>61</v>
      </c>
      <c r="E53" s="24"/>
      <c r="F53" s="66">
        <v>7.0000000000000001E-3</v>
      </c>
      <c r="G53" s="69">
        <f>F16</f>
        <v>40000</v>
      </c>
      <c r="H53" s="67">
        <f t="shared" si="9"/>
        <v>280</v>
      </c>
      <c r="I53" s="28"/>
      <c r="J53" s="66">
        <v>7.0000000000000001E-3</v>
      </c>
      <c r="K53" s="70">
        <f>F16</f>
        <v>40000</v>
      </c>
      <c r="L53" s="67">
        <f t="shared" si="10"/>
        <v>280</v>
      </c>
      <c r="M53" s="28"/>
      <c r="N53" s="31">
        <f t="shared" si="2"/>
        <v>0</v>
      </c>
      <c r="O53" s="68">
        <f t="shared" si="8"/>
        <v>0</v>
      </c>
    </row>
    <row r="54" spans="2:19" ht="15.75" thickBot="1" x14ac:dyDescent="0.3">
      <c r="B54" s="49" t="s">
        <v>73</v>
      </c>
      <c r="C54" s="22"/>
      <c r="D54" s="23" t="s">
        <v>61</v>
      </c>
      <c r="E54" s="24"/>
      <c r="F54" s="66">
        <v>8.2699999999999996E-2</v>
      </c>
      <c r="G54" s="69">
        <f>F16</f>
        <v>40000</v>
      </c>
      <c r="H54" s="67">
        <f t="shared" si="9"/>
        <v>3308</v>
      </c>
      <c r="I54" s="28"/>
      <c r="J54" s="66">
        <v>8.2699999999999996E-2</v>
      </c>
      <c r="K54" s="69">
        <f>G54</f>
        <v>40000</v>
      </c>
      <c r="L54" s="67">
        <f t="shared" si="10"/>
        <v>3308</v>
      </c>
      <c r="M54" s="28"/>
      <c r="N54" s="31">
        <f t="shared" si="2"/>
        <v>0</v>
      </c>
      <c r="O54" s="68">
        <f t="shared" si="8"/>
        <v>0</v>
      </c>
      <c r="S54" s="72"/>
    </row>
    <row r="55" spans="2:19" ht="15.75" hidden="1" thickBot="1" x14ac:dyDescent="0.3">
      <c r="B55" s="49" t="s">
        <v>36</v>
      </c>
      <c r="C55" s="22"/>
      <c r="D55" s="23"/>
      <c r="E55" s="24"/>
      <c r="F55" s="71">
        <v>0.104</v>
      </c>
      <c r="G55" s="69">
        <v>0</v>
      </c>
      <c r="H55" s="67">
        <f t="shared" si="9"/>
        <v>0</v>
      </c>
      <c r="I55" s="28"/>
      <c r="J55" s="66">
        <v>0.104</v>
      </c>
      <c r="K55" s="69">
        <v>0</v>
      </c>
      <c r="L55" s="67">
        <f t="shared" si="10"/>
        <v>0</v>
      </c>
      <c r="M55" s="28"/>
      <c r="N55" s="31">
        <f t="shared" si="2"/>
        <v>0</v>
      </c>
      <c r="O55" s="68" t="str">
        <f t="shared" si="8"/>
        <v/>
      </c>
      <c r="S55" s="72"/>
    </row>
    <row r="56" spans="2:19" ht="15.75" hidden="1" thickBot="1" x14ac:dyDescent="0.3">
      <c r="B56" s="12" t="s">
        <v>37</v>
      </c>
      <c r="C56" s="22"/>
      <c r="D56" s="23"/>
      <c r="E56" s="24"/>
      <c r="F56" s="71">
        <v>0.124</v>
      </c>
      <c r="G56" s="69">
        <v>0</v>
      </c>
      <c r="H56" s="67">
        <f t="shared" si="9"/>
        <v>0</v>
      </c>
      <c r="I56" s="28"/>
      <c r="J56" s="66">
        <v>0.124</v>
      </c>
      <c r="K56" s="69">
        <v>0</v>
      </c>
      <c r="L56" s="67">
        <f t="shared" si="10"/>
        <v>0</v>
      </c>
      <c r="M56" s="28"/>
      <c r="N56" s="31">
        <f t="shared" si="2"/>
        <v>0</v>
      </c>
      <c r="O56" s="68" t="str">
        <f t="shared" si="8"/>
        <v/>
      </c>
      <c r="S56" s="72"/>
    </row>
    <row r="57" spans="2:19" s="73" customFormat="1" ht="15.75" hidden="1" thickBot="1" x14ac:dyDescent="0.25">
      <c r="B57" s="179" t="s">
        <v>38</v>
      </c>
      <c r="C57" s="75"/>
      <c r="D57" s="76"/>
      <c r="E57" s="77"/>
      <c r="F57" s="71">
        <v>7.4999999999999997E-2</v>
      </c>
      <c r="G57" s="78">
        <v>0</v>
      </c>
      <c r="H57" s="67">
        <f>G57*F57</f>
        <v>0</v>
      </c>
      <c r="I57" s="79"/>
      <c r="J57" s="66">
        <v>7.4999999999999997E-2</v>
      </c>
      <c r="K57" s="78">
        <f>G57</f>
        <v>0</v>
      </c>
      <c r="L57" s="67">
        <f>K57*J57</f>
        <v>0</v>
      </c>
      <c r="M57" s="79"/>
      <c r="N57" s="80">
        <f t="shared" si="2"/>
        <v>0</v>
      </c>
      <c r="O57" s="68" t="str">
        <f t="shared" si="8"/>
        <v/>
      </c>
    </row>
    <row r="58" spans="2:19" s="73" customFormat="1" ht="15.75" hidden="1" thickBot="1" x14ac:dyDescent="0.25">
      <c r="B58" s="179" t="s">
        <v>39</v>
      </c>
      <c r="C58" s="75"/>
      <c r="D58" s="76"/>
      <c r="E58" s="77"/>
      <c r="F58" s="71">
        <v>8.7999999999999995E-2</v>
      </c>
      <c r="G58" s="78">
        <v>0</v>
      </c>
      <c r="H58" s="67">
        <f>G58*F58</f>
        <v>0</v>
      </c>
      <c r="I58" s="79"/>
      <c r="J58" s="66">
        <v>8.7999999999999995E-2</v>
      </c>
      <c r="K58" s="78">
        <f>G58</f>
        <v>0</v>
      </c>
      <c r="L58" s="67">
        <f>K58*J58</f>
        <v>0</v>
      </c>
      <c r="M58" s="79"/>
      <c r="N58" s="80">
        <f t="shared" si="2"/>
        <v>0</v>
      </c>
      <c r="O58" s="68" t="str">
        <f t="shared" si="8"/>
        <v/>
      </c>
    </row>
    <row r="59" spans="2:19" ht="15.75" hidden="1" thickBot="1" x14ac:dyDescent="0.3">
      <c r="B59" s="81"/>
      <c r="C59" s="82"/>
      <c r="D59" s="83"/>
      <c r="E59" s="82"/>
      <c r="F59" s="84"/>
      <c r="G59" s="85"/>
      <c r="H59" s="86"/>
      <c r="I59" s="87"/>
      <c r="J59" s="84"/>
      <c r="K59" s="88"/>
      <c r="L59" s="86"/>
      <c r="M59" s="87"/>
      <c r="N59" s="89"/>
      <c r="O59" s="90"/>
    </row>
    <row r="60" spans="2:19" ht="15.75" hidden="1" thickBot="1" x14ac:dyDescent="0.3">
      <c r="B60" s="91" t="s">
        <v>40</v>
      </c>
      <c r="C60" s="22"/>
      <c r="D60" s="22"/>
      <c r="E60" s="22"/>
      <c r="F60" s="92"/>
      <c r="G60" s="93"/>
      <c r="H60" s="94">
        <f>SUM(H50:H56,H49)</f>
        <v>4909.6540000000005</v>
      </c>
      <c r="I60" s="95"/>
      <c r="J60" s="96"/>
      <c r="K60" s="96"/>
      <c r="L60" s="94">
        <f>SUM(L50:L56,L49)</f>
        <v>4890.568142696261</v>
      </c>
      <c r="M60" s="97"/>
      <c r="N60" s="98">
        <f>L60-H60</f>
        <v>-19.085857303739431</v>
      </c>
      <c r="O60" s="99">
        <f>IF((H60)=0,"",(N60/H60))</f>
        <v>-3.8874139203576115E-3</v>
      </c>
      <c r="S60" s="72"/>
    </row>
    <row r="61" spans="2:19" ht="15.75" hidden="1" thickBot="1" x14ac:dyDescent="0.3">
      <c r="B61" s="100" t="s">
        <v>41</v>
      </c>
      <c r="C61" s="22"/>
      <c r="D61" s="22"/>
      <c r="E61" s="22"/>
      <c r="F61" s="101">
        <v>0.13</v>
      </c>
      <c r="G61" s="102"/>
      <c r="H61" s="103">
        <f>H60*F61</f>
        <v>638.25502000000006</v>
      </c>
      <c r="I61" s="104"/>
      <c r="J61" s="105">
        <v>0.13</v>
      </c>
      <c r="K61" s="104"/>
      <c r="L61" s="106">
        <f>L60*J61</f>
        <v>635.77385855051398</v>
      </c>
      <c r="M61" s="107"/>
      <c r="N61" s="108">
        <f t="shared" si="2"/>
        <v>-2.4811614494860805</v>
      </c>
      <c r="O61" s="109">
        <f t="shared" si="8"/>
        <v>-3.8874139203575403E-3</v>
      </c>
      <c r="S61" s="72"/>
    </row>
    <row r="62" spans="2:19" ht="15.75" hidden="1" thickBot="1" x14ac:dyDescent="0.3">
      <c r="B62" s="110" t="s">
        <v>42</v>
      </c>
      <c r="C62" s="22"/>
      <c r="D62" s="22"/>
      <c r="E62" s="22"/>
      <c r="F62" s="111"/>
      <c r="G62" s="102"/>
      <c r="H62" s="103">
        <f>H60+H61</f>
        <v>5547.909020000001</v>
      </c>
      <c r="I62" s="104"/>
      <c r="J62" s="104"/>
      <c r="K62" s="104"/>
      <c r="L62" s="106">
        <f>L60+L61</f>
        <v>5526.342001246775</v>
      </c>
      <c r="M62" s="107"/>
      <c r="N62" s="108">
        <f t="shared" si="2"/>
        <v>-21.567018753225966</v>
      </c>
      <c r="O62" s="109">
        <f t="shared" si="8"/>
        <v>-3.8874139203576852E-3</v>
      </c>
      <c r="S62" s="72"/>
    </row>
    <row r="63" spans="2:19" ht="15.75" hidden="1" thickBot="1" x14ac:dyDescent="0.3">
      <c r="B63" s="240" t="s">
        <v>43</v>
      </c>
      <c r="C63" s="240"/>
      <c r="D63" s="240"/>
      <c r="E63" s="22"/>
      <c r="F63" s="111"/>
      <c r="G63" s="102"/>
      <c r="H63" s="112">
        <f>ROUND(-H62*10%,2)</f>
        <v>-554.79</v>
      </c>
      <c r="I63" s="104"/>
      <c r="J63" s="104"/>
      <c r="K63" s="104"/>
      <c r="L63" s="113">
        <f>ROUND(-L62*10%,2)</f>
        <v>-552.63</v>
      </c>
      <c r="M63" s="107"/>
      <c r="N63" s="114">
        <f t="shared" si="2"/>
        <v>2.1599999999999682</v>
      </c>
      <c r="O63" s="115">
        <f t="shared" si="8"/>
        <v>-3.8933650570485557E-3</v>
      </c>
    </row>
    <row r="64" spans="2:19" ht="15.75" hidden="1" thickBot="1" x14ac:dyDescent="0.3">
      <c r="B64" s="246" t="s">
        <v>44</v>
      </c>
      <c r="C64" s="246"/>
      <c r="D64" s="246"/>
      <c r="E64" s="116"/>
      <c r="F64" s="117"/>
      <c r="G64" s="118"/>
      <c r="H64" s="119">
        <f>H62+H63</f>
        <v>4993.119020000001</v>
      </c>
      <c r="I64" s="120"/>
      <c r="J64" s="120"/>
      <c r="K64" s="120"/>
      <c r="L64" s="121">
        <f>L62+L63</f>
        <v>4973.7120012467749</v>
      </c>
      <c r="M64" s="122"/>
      <c r="N64" s="123">
        <f t="shared" si="2"/>
        <v>-19.407018753226112</v>
      </c>
      <c r="O64" s="124">
        <f t="shared" si="8"/>
        <v>-3.8867526841421273E-3</v>
      </c>
    </row>
    <row r="65" spans="1:15" s="73" customFormat="1" ht="15.75" thickBot="1" x14ac:dyDescent="0.25">
      <c r="B65" s="125"/>
      <c r="C65" s="126"/>
      <c r="D65" s="127"/>
      <c r="E65" s="126"/>
      <c r="F65" s="84"/>
      <c r="G65" s="128"/>
      <c r="H65" s="86"/>
      <c r="I65" s="129"/>
      <c r="J65" s="84"/>
      <c r="K65" s="130"/>
      <c r="L65" s="86"/>
      <c r="M65" s="129"/>
      <c r="N65" s="131"/>
      <c r="O65" s="90"/>
    </row>
    <row r="66" spans="1:15" s="73" customFormat="1" ht="12.75" x14ac:dyDescent="0.2">
      <c r="B66" s="132" t="s">
        <v>45</v>
      </c>
      <c r="C66" s="75"/>
      <c r="D66" s="75"/>
      <c r="E66" s="75"/>
      <c r="F66" s="133"/>
      <c r="G66" s="134"/>
      <c r="H66" s="135">
        <f>SUM(H54,H49,H50:H53)</f>
        <v>4909.6540000000005</v>
      </c>
      <c r="I66" s="136"/>
      <c r="J66" s="137"/>
      <c r="K66" s="137"/>
      <c r="L66" s="188">
        <f>SUM(L54,L49,L50:L53)</f>
        <v>4890.568142696261</v>
      </c>
      <c r="M66" s="138"/>
      <c r="N66" s="139">
        <f>L66-H66</f>
        <v>-19.085857303739431</v>
      </c>
      <c r="O66" s="99">
        <f>IF((H66)=0,"",(N66/H66))</f>
        <v>-3.8874139203576115E-3</v>
      </c>
    </row>
    <row r="67" spans="1:15" s="73" customFormat="1" ht="12.75" x14ac:dyDescent="0.2">
      <c r="B67" s="140" t="s">
        <v>41</v>
      </c>
      <c r="C67" s="75"/>
      <c r="D67" s="75"/>
      <c r="E67" s="75"/>
      <c r="F67" s="141">
        <v>0.13</v>
      </c>
      <c r="G67" s="134"/>
      <c r="H67" s="142">
        <f>H66*F67</f>
        <v>638.25502000000006</v>
      </c>
      <c r="I67" s="143"/>
      <c r="J67" s="144">
        <v>0.13</v>
      </c>
      <c r="K67" s="145"/>
      <c r="L67" s="146">
        <f>L66*J67</f>
        <v>635.77385855051398</v>
      </c>
      <c r="M67" s="147"/>
      <c r="N67" s="148">
        <f>L67-H67</f>
        <v>-2.4811614494860805</v>
      </c>
      <c r="O67" s="109">
        <f>IF((H67)=0,"",(N67/H67))</f>
        <v>-3.8874139203575403E-3</v>
      </c>
    </row>
    <row r="68" spans="1:15" s="73" customFormat="1" ht="12.75" x14ac:dyDescent="0.2">
      <c r="B68" s="149" t="s">
        <v>42</v>
      </c>
      <c r="C68" s="75"/>
      <c r="D68" s="75"/>
      <c r="E68" s="75"/>
      <c r="F68" s="150"/>
      <c r="G68" s="151"/>
      <c r="H68" s="142">
        <f>H66+H67</f>
        <v>5547.909020000001</v>
      </c>
      <c r="I68" s="143"/>
      <c r="J68" s="143"/>
      <c r="K68" s="143"/>
      <c r="L68" s="146">
        <f>L66+L67</f>
        <v>5526.342001246775</v>
      </c>
      <c r="M68" s="147"/>
      <c r="N68" s="148">
        <f>L68-H68</f>
        <v>-21.567018753225966</v>
      </c>
      <c r="O68" s="109">
        <f>IF((H68)=0,"",(N68/H68))</f>
        <v>-3.8874139203576852E-3</v>
      </c>
    </row>
    <row r="69" spans="1:15" s="73" customFormat="1" ht="12.75" x14ac:dyDescent="0.2">
      <c r="B69" s="241" t="s">
        <v>43</v>
      </c>
      <c r="C69" s="241"/>
      <c r="D69" s="241"/>
      <c r="E69" s="75"/>
      <c r="F69" s="150"/>
      <c r="G69" s="151"/>
      <c r="H69" s="152">
        <f>ROUND(-H68*10%,2)</f>
        <v>-554.79</v>
      </c>
      <c r="I69" s="143"/>
      <c r="J69" s="143"/>
      <c r="K69" s="143"/>
      <c r="L69" s="153">
        <f>ROUND(-L68*10%,2)</f>
        <v>-552.63</v>
      </c>
      <c r="M69" s="147"/>
      <c r="N69" s="154">
        <f>L69-H69</f>
        <v>2.1599999999999682</v>
      </c>
      <c r="O69" s="115">
        <f>IF((H69)=0,"",(N69/H69))</f>
        <v>-3.8933650570485557E-3</v>
      </c>
    </row>
    <row r="70" spans="1:15" s="73" customFormat="1" ht="13.5" thickBot="1" x14ac:dyDescent="0.25">
      <c r="B70" s="233" t="s">
        <v>46</v>
      </c>
      <c r="C70" s="233"/>
      <c r="D70" s="233"/>
      <c r="E70" s="155"/>
      <c r="F70" s="156"/>
      <c r="G70" s="157"/>
      <c r="H70" s="158">
        <f>SUM(H68:H69)</f>
        <v>4993.119020000001</v>
      </c>
      <c r="I70" s="159"/>
      <c r="J70" s="159"/>
      <c r="K70" s="159"/>
      <c r="L70" s="160">
        <f>SUM(L68:L69)</f>
        <v>4973.7120012467749</v>
      </c>
      <c r="M70" s="161"/>
      <c r="N70" s="162">
        <f>L70-H70</f>
        <v>-19.407018753226112</v>
      </c>
      <c r="O70" s="163">
        <f>IF((H70)=0,"",(N70/H70))</f>
        <v>-3.8867526841421273E-3</v>
      </c>
    </row>
    <row r="71" spans="1:15" s="73" customFormat="1" ht="15.75" thickBot="1" x14ac:dyDescent="0.25">
      <c r="B71" s="125"/>
      <c r="C71" s="126"/>
      <c r="D71" s="127"/>
      <c r="E71" s="126"/>
      <c r="F71" s="164"/>
      <c r="G71" s="165"/>
      <c r="H71" s="166"/>
      <c r="I71" s="167"/>
      <c r="J71" s="164"/>
      <c r="K71" s="128"/>
      <c r="L71" s="168"/>
      <c r="M71" s="129"/>
      <c r="N71" s="169"/>
      <c r="O71" s="90"/>
    </row>
    <row r="72" spans="1:15" x14ac:dyDescent="0.25">
      <c r="L72" s="72"/>
    </row>
    <row r="73" spans="1:15" x14ac:dyDescent="0.25">
      <c r="B73" s="13" t="s">
        <v>47</v>
      </c>
      <c r="F73" s="170">
        <v>4.8000000000000001E-2</v>
      </c>
      <c r="J73" s="170">
        <f>'Res (100kWh)'!$J$74</f>
        <v>4.7100000000000003E-2</v>
      </c>
    </row>
    <row r="75" spans="1:15" x14ac:dyDescent="0.25">
      <c r="A75" s="171" t="s">
        <v>48</v>
      </c>
    </row>
    <row r="77" spans="1:15" x14ac:dyDescent="0.25">
      <c r="A77" s="7" t="s">
        <v>49</v>
      </c>
    </row>
    <row r="78" spans="1:15" x14ac:dyDescent="0.25">
      <c r="A78" s="7" t="s">
        <v>50</v>
      </c>
    </row>
    <row r="80" spans="1:15" x14ac:dyDescent="0.25">
      <c r="A80" s="12" t="s">
        <v>51</v>
      </c>
    </row>
    <row r="81" spans="1:2" x14ac:dyDescent="0.25">
      <c r="A81" s="12" t="s">
        <v>52</v>
      </c>
    </row>
    <row r="83" spans="1:2" x14ac:dyDescent="0.25">
      <c r="A83" s="7" t="s">
        <v>53</v>
      </c>
    </row>
    <row r="84" spans="1:2" x14ac:dyDescent="0.25">
      <c r="A84" s="7" t="s">
        <v>54</v>
      </c>
    </row>
    <row r="85" spans="1:2" x14ac:dyDescent="0.25">
      <c r="A85" s="7" t="s">
        <v>55</v>
      </c>
    </row>
    <row r="86" spans="1:2" x14ac:dyDescent="0.25">
      <c r="A86" s="7" t="s">
        <v>56</v>
      </c>
    </row>
    <row r="87" spans="1:2" x14ac:dyDescent="0.25">
      <c r="A87" s="7" t="s">
        <v>57</v>
      </c>
    </row>
    <row r="89" spans="1:2" x14ac:dyDescent="0.25">
      <c r="A89" s="172"/>
      <c r="B89" s="7" t="s">
        <v>58</v>
      </c>
    </row>
  </sheetData>
  <mergeCells count="17">
    <mergeCell ref="B63:D63"/>
    <mergeCell ref="B64:D64"/>
    <mergeCell ref="B69:D69"/>
    <mergeCell ref="B70:D70"/>
    <mergeCell ref="B9:O9"/>
    <mergeCell ref="D12:O12"/>
    <mergeCell ref="F18:H18"/>
    <mergeCell ref="J18:L18"/>
    <mergeCell ref="N18:O18"/>
    <mergeCell ref="D19:D20"/>
    <mergeCell ref="N19:N20"/>
    <mergeCell ref="O19:O20"/>
    <mergeCell ref="B8:O8"/>
    <mergeCell ref="N1:O1"/>
    <mergeCell ref="N2:O2"/>
    <mergeCell ref="N3:O3"/>
    <mergeCell ref="N5:O5"/>
  </mergeCells>
  <dataValidations disablePrompts="1" count="4">
    <dataValidation type="list" allowBlank="1" showInputMessage="1" showErrorMessage="1" sqref="E47:E48 E39:E45 E65 E50:E59 E71 E21:E24 E26:E37">
      <formula1>#REF!</formula1>
    </dataValidation>
    <dataValidation type="list" allowBlank="1" showInputMessage="1" showErrorMessage="1" prompt="Select Charge Unit - monthly, per kWh, per kW" sqref="D47:D48 D39:D45 D65 D50:D59 D71 D21:D37">
      <formula1>"Monthly, per kWh, per kW"</formula1>
    </dataValidation>
    <dataValidation type="list" allowBlank="1" showInputMessage="1" showErrorMessage="1" sqref="D14">
      <formula1>"TOU, non-TOU"</formula1>
    </dataValidation>
    <dataValidation type="list" allowBlank="1" showInputMessage="1" showErrorMessage="1" sqref="E25">
      <formula1>#REF!</formula1>
    </dataValidation>
  </dataValidations>
  <pageMargins left="0.7" right="0.7" top="0.75" bottom="0.75" header="0.3" footer="0.3"/>
  <pageSetup scale="58" fitToHeight="0"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theme="0" tint="-0.14999847407452621"/>
    <pageSetUpPr fitToPage="1"/>
  </sheetPr>
  <dimension ref="A1:T89"/>
  <sheetViews>
    <sheetView showGridLines="0" workbookViewId="0">
      <selection activeCell="L1" sqref="L1:O5"/>
    </sheetView>
  </sheetViews>
  <sheetFormatPr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8.5703125" style="7" customWidth="1"/>
    <col min="8" max="8" width="11.5703125" style="7" bestFit="1" customWidth="1"/>
    <col min="9" max="9" width="2.85546875" style="7" customWidth="1"/>
    <col min="10" max="10" width="12.140625" style="7" customWidth="1"/>
    <col min="11" max="11" width="8.5703125" style="7" customWidth="1"/>
    <col min="12" max="12" width="11.5703125" style="7" bestFit="1" customWidth="1"/>
    <col min="13" max="13" width="2.85546875" style="7" customWidth="1"/>
    <col min="14" max="14" width="12.7109375" style="7" bestFit="1" customWidth="1"/>
    <col min="15" max="15" width="10.85546875" style="7" bestFit="1" customWidth="1"/>
    <col min="16" max="16" width="10.14062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21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248" t="str">
        <f>'Res (100kWh)'!$N$1:$O$1</f>
        <v>EB-2014-0099</v>
      </c>
      <c r="O1" s="248"/>
      <c r="P1" s="190"/>
      <c r="T1" s="2">
        <v>1</v>
      </c>
    </row>
    <row r="2" spans="1:20" s="2" customFormat="1" ht="18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94</v>
      </c>
      <c r="N2" s="249">
        <f>'Res (100kWh)'!$N$2:$O$2</f>
        <v>8</v>
      </c>
      <c r="O2" s="249"/>
      <c r="P2" s="191"/>
    </row>
    <row r="3" spans="1:20" s="2" customFormat="1" ht="15.75" x14ac:dyDescent="0.25">
      <c r="C3" s="6"/>
      <c r="D3" s="6"/>
      <c r="E3" s="6"/>
      <c r="L3" s="3" t="s">
        <v>95</v>
      </c>
      <c r="N3" s="248" t="str">
        <f>'Res (100kWh)'!$N$3:$O$3</f>
        <v>8-B</v>
      </c>
      <c r="O3" s="248"/>
      <c r="P3" s="190"/>
    </row>
    <row r="4" spans="1:20" s="2" customFormat="1" x14ac:dyDescent="0.25">
      <c r="L4" s="3"/>
      <c r="N4" s="232"/>
      <c r="O4"/>
      <c r="P4" s="192"/>
    </row>
    <row r="5" spans="1:20" s="2" customFormat="1" x14ac:dyDescent="0.25">
      <c r="L5" s="3" t="s">
        <v>75</v>
      </c>
      <c r="N5" s="248">
        <f>'Res (100kWh)'!$N$5:$O$5</f>
        <v>42118</v>
      </c>
      <c r="O5" s="248"/>
      <c r="P5" s="193"/>
    </row>
    <row r="6" spans="1:20" s="2" customFormat="1" x14ac:dyDescent="0.25">
      <c r="N6" s="7"/>
      <c r="O6"/>
      <c r="P6"/>
    </row>
    <row r="7" spans="1:20" x14ac:dyDescent="0.25">
      <c r="L7"/>
      <c r="M7"/>
      <c r="N7"/>
      <c r="O7"/>
      <c r="P7"/>
    </row>
    <row r="8" spans="1:20" ht="18" x14ac:dyDescent="0.25">
      <c r="B8" s="247" t="s">
        <v>1</v>
      </c>
      <c r="C8" s="247"/>
      <c r="D8" s="247"/>
      <c r="E8" s="247"/>
      <c r="F8" s="247"/>
      <c r="G8" s="247"/>
      <c r="H8" s="247"/>
      <c r="I8" s="247"/>
      <c r="J8" s="247"/>
      <c r="K8" s="247"/>
      <c r="L8" s="247"/>
      <c r="M8" s="247"/>
      <c r="N8" s="247"/>
      <c r="O8" s="247"/>
      <c r="P8"/>
    </row>
    <row r="9" spans="1:20" ht="18" x14ac:dyDescent="0.25">
      <c r="B9" s="247" t="s">
        <v>2</v>
      </c>
      <c r="C9" s="247"/>
      <c r="D9" s="247"/>
      <c r="E9" s="247"/>
      <c r="F9" s="247"/>
      <c r="G9" s="247"/>
      <c r="H9" s="247"/>
      <c r="I9" s="247"/>
      <c r="J9" s="247"/>
      <c r="K9" s="247"/>
      <c r="L9" s="247"/>
      <c r="M9" s="247"/>
      <c r="N9" s="247"/>
      <c r="O9" s="247"/>
      <c r="P9"/>
    </row>
    <row r="10" spans="1:20" x14ac:dyDescent="0.25">
      <c r="L10"/>
      <c r="M10"/>
      <c r="N10"/>
      <c r="O10"/>
      <c r="P10"/>
    </row>
    <row r="11" spans="1:20" x14ac:dyDescent="0.25">
      <c r="L11"/>
      <c r="M11"/>
      <c r="N11"/>
      <c r="O11"/>
      <c r="P11"/>
    </row>
    <row r="12" spans="1:20" ht="15.75" x14ac:dyDescent="0.25">
      <c r="B12" s="8" t="s">
        <v>3</v>
      </c>
      <c r="D12" s="242" t="s">
        <v>87</v>
      </c>
      <c r="E12" s="242"/>
      <c r="F12" s="242"/>
      <c r="G12" s="242"/>
      <c r="H12" s="242"/>
      <c r="I12" s="242"/>
      <c r="J12" s="242"/>
      <c r="K12" s="242"/>
      <c r="L12" s="242"/>
      <c r="M12" s="242"/>
      <c r="N12" s="242"/>
      <c r="O12" s="242"/>
    </row>
    <row r="13" spans="1:20" ht="15.75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68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x14ac:dyDescent="0.25">
      <c r="B16" s="12"/>
      <c r="D16" s="13" t="s">
        <v>6</v>
      </c>
      <c r="E16" s="13"/>
      <c r="F16" s="14">
        <v>192000</v>
      </c>
      <c r="G16" s="13" t="s">
        <v>7</v>
      </c>
      <c r="H16" s="14">
        <v>455</v>
      </c>
      <c r="I16" s="13" t="s">
        <v>69</v>
      </c>
    </row>
    <row r="17" spans="2:15" x14ac:dyDescent="0.25">
      <c r="B17" s="12"/>
    </row>
    <row r="18" spans="2:15" x14ac:dyDescent="0.25">
      <c r="B18" s="12"/>
      <c r="D18" s="15"/>
      <c r="E18" s="15"/>
      <c r="F18" s="243" t="s">
        <v>8</v>
      </c>
      <c r="G18" s="244"/>
      <c r="H18" s="245"/>
      <c r="J18" s="243" t="s">
        <v>9</v>
      </c>
      <c r="K18" s="244"/>
      <c r="L18" s="245"/>
      <c r="N18" s="243" t="s">
        <v>10</v>
      </c>
      <c r="O18" s="245"/>
    </row>
    <row r="19" spans="2:15" x14ac:dyDescent="0.25">
      <c r="B19" s="12"/>
      <c r="D19" s="234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236" t="s">
        <v>15</v>
      </c>
      <c r="O19" s="238" t="s">
        <v>16</v>
      </c>
    </row>
    <row r="20" spans="2:15" x14ac:dyDescent="0.25">
      <c r="B20" s="12"/>
      <c r="D20" s="235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237"/>
      <c r="O20" s="239"/>
    </row>
    <row r="21" spans="2:15" x14ac:dyDescent="0.25">
      <c r="B21" s="22" t="s">
        <v>18</v>
      </c>
      <c r="C21" s="22"/>
      <c r="D21" s="23" t="s">
        <v>60</v>
      </c>
      <c r="E21" s="24"/>
      <c r="F21" s="174">
        <f>'[2]2014 Existing Rates'!$C$8</f>
        <v>293.97000000000003</v>
      </c>
      <c r="G21" s="26">
        <v>1</v>
      </c>
      <c r="H21" s="27">
        <f>G21*F21</f>
        <v>293.97000000000003</v>
      </c>
      <c r="I21" s="28"/>
      <c r="J21" s="173">
        <f>'[2]Rate Schedule '!$E$22</f>
        <v>341.7</v>
      </c>
      <c r="K21" s="30">
        <v>1</v>
      </c>
      <c r="L21" s="27">
        <f>K21*J21</f>
        <v>341.7</v>
      </c>
      <c r="M21" s="28"/>
      <c r="N21" s="31">
        <f>L21-H21</f>
        <v>47.729999999999961</v>
      </c>
      <c r="O21" s="32">
        <f>IF((H21)=0,"",(N21/H21))</f>
        <v>0.16236350648025294</v>
      </c>
    </row>
    <row r="22" spans="2:15" ht="30" x14ac:dyDescent="0.25">
      <c r="B22" s="65" t="s">
        <v>80</v>
      </c>
      <c r="C22" s="22"/>
      <c r="D22" s="56" t="s">
        <v>60</v>
      </c>
      <c r="E22" s="24"/>
      <c r="F22" s="173"/>
      <c r="G22" s="26">
        <v>1</v>
      </c>
      <c r="H22" s="27">
        <f t="shared" ref="H22:H37" si="0">G22*F22</f>
        <v>0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0</v>
      </c>
      <c r="O22" s="32" t="str">
        <f>IF((H22)=0,"",(N22/H22))</f>
        <v/>
      </c>
    </row>
    <row r="23" spans="2:15" hidden="1" x14ac:dyDescent="0.25">
      <c r="B23" s="175"/>
      <c r="C23" s="22"/>
      <c r="D23" s="56" t="s">
        <v>60</v>
      </c>
      <c r="E23" s="57"/>
      <c r="F23" s="173"/>
      <c r="G23" s="26">
        <v>1</v>
      </c>
      <c r="H23" s="27">
        <f t="shared" si="0"/>
        <v>0</v>
      </c>
      <c r="I23" s="28"/>
      <c r="J23" s="29"/>
      <c r="K23" s="30">
        <v>1</v>
      </c>
      <c r="L23" s="27">
        <f t="shared" ref="L23:L37" si="1">K23*J23</f>
        <v>0</v>
      </c>
      <c r="M23" s="28"/>
      <c r="N23" s="31">
        <f t="shared" ref="N23:N64" si="2">L23-H23</f>
        <v>0</v>
      </c>
      <c r="O23" s="32" t="str">
        <f t="shared" ref="O23:O44" si="3">IF((H23)=0,"",(N23/H23))</f>
        <v/>
      </c>
    </row>
    <row r="24" spans="2:15" hidden="1" x14ac:dyDescent="0.25">
      <c r="B24" s="175"/>
      <c r="C24" s="22"/>
      <c r="D24" s="56" t="s">
        <v>60</v>
      </c>
      <c r="E24" s="24"/>
      <c r="F24" s="25"/>
      <c r="G24" s="26">
        <v>1</v>
      </c>
      <c r="H24" s="27">
        <f t="shared" si="0"/>
        <v>0</v>
      </c>
      <c r="I24" s="28"/>
      <c r="J24" s="173"/>
      <c r="K24" s="30">
        <v>1</v>
      </c>
      <c r="L24" s="27">
        <f t="shared" si="1"/>
        <v>0</v>
      </c>
      <c r="M24" s="28"/>
      <c r="N24" s="31">
        <f t="shared" si="2"/>
        <v>0</v>
      </c>
      <c r="O24" s="32" t="str">
        <f t="shared" si="3"/>
        <v/>
      </c>
    </row>
    <row r="25" spans="2:15" x14ac:dyDescent="0.25">
      <c r="B25" s="175" t="s">
        <v>88</v>
      </c>
      <c r="C25" s="22"/>
      <c r="D25" s="23" t="s">
        <v>70</v>
      </c>
      <c r="E25" s="24"/>
      <c r="F25" s="25"/>
      <c r="G25" s="178">
        <f>$H$16</f>
        <v>455</v>
      </c>
      <c r="H25" s="27">
        <f t="shared" ref="H25" si="4">G25*F25</f>
        <v>0</v>
      </c>
      <c r="I25" s="28"/>
      <c r="J25" s="29">
        <f>'[4]6. Rate Rider Calculations'!$F$105</f>
        <v>7.3656815787806224E-2</v>
      </c>
      <c r="K25" s="178">
        <f>$H$16</f>
        <v>455</v>
      </c>
      <c r="L25" s="27">
        <f t="shared" ref="L25" si="5">K25*J25</f>
        <v>33.513851183451834</v>
      </c>
      <c r="M25" s="28"/>
      <c r="N25" s="31">
        <f t="shared" ref="N25" si="6">L25-H25</f>
        <v>33.513851183451834</v>
      </c>
      <c r="O25" s="32" t="str">
        <f t="shared" ref="O25" si="7">IF((H25)=0,"",(N25/H25))</f>
        <v/>
      </c>
    </row>
    <row r="26" spans="2:15" x14ac:dyDescent="0.25">
      <c r="B26" s="46" t="s">
        <v>65</v>
      </c>
      <c r="C26" s="22"/>
      <c r="D26" s="23" t="s">
        <v>70</v>
      </c>
      <c r="E26" s="24"/>
      <c r="F26" s="25">
        <v>-2.4199999999999999E-2</v>
      </c>
      <c r="G26" s="178">
        <f>$H$16</f>
        <v>455</v>
      </c>
      <c r="H26" s="27">
        <f t="shared" si="0"/>
        <v>-11.010999999999999</v>
      </c>
      <c r="I26" s="28"/>
      <c r="J26" s="29"/>
      <c r="K26" s="178">
        <f>$H$16</f>
        <v>455</v>
      </c>
      <c r="L26" s="27">
        <f t="shared" si="1"/>
        <v>0</v>
      </c>
      <c r="M26" s="28"/>
      <c r="N26" s="31">
        <f t="shared" si="2"/>
        <v>11.010999999999999</v>
      </c>
      <c r="O26" s="32">
        <f t="shared" si="3"/>
        <v>-1</v>
      </c>
    </row>
    <row r="27" spans="2:15" x14ac:dyDescent="0.25">
      <c r="B27" s="46" t="s">
        <v>66</v>
      </c>
      <c r="C27" s="22"/>
      <c r="D27" s="23" t="s">
        <v>70</v>
      </c>
      <c r="E27" s="24"/>
      <c r="F27" s="25"/>
      <c r="G27" s="178">
        <f>$H$16</f>
        <v>455</v>
      </c>
      <c r="H27" s="27">
        <f t="shared" si="0"/>
        <v>0</v>
      </c>
      <c r="I27" s="28"/>
      <c r="J27" s="29">
        <f>'[4]6. Rate Rider Calculations'!$F$77</f>
        <v>-2.8664083566574554</v>
      </c>
      <c r="K27" s="178">
        <f>$H$16</f>
        <v>455</v>
      </c>
      <c r="L27" s="27">
        <f t="shared" si="1"/>
        <v>-1304.2158022791423</v>
      </c>
      <c r="M27" s="28"/>
      <c r="N27" s="31">
        <f t="shared" si="2"/>
        <v>-1304.2158022791423</v>
      </c>
      <c r="O27" s="32" t="str">
        <f t="shared" si="3"/>
        <v/>
      </c>
    </row>
    <row r="28" spans="2:15" x14ac:dyDescent="0.25">
      <c r="B28" s="22" t="s">
        <v>19</v>
      </c>
      <c r="C28" s="22"/>
      <c r="D28" s="23" t="s">
        <v>70</v>
      </c>
      <c r="E28" s="24"/>
      <c r="F28" s="25">
        <f>'[2]2014 Existing Rates'!$D$8</f>
        <v>2.0966</v>
      </c>
      <c r="G28" s="178">
        <f>$H$16</f>
        <v>455</v>
      </c>
      <c r="H28" s="27">
        <f t="shared" si="0"/>
        <v>953.95299999999997</v>
      </c>
      <c r="I28" s="28"/>
      <c r="J28" s="29">
        <f>'[2]Rate Schedule '!$E$23</f>
        <v>2.4098000000000002</v>
      </c>
      <c r="K28" s="178">
        <f>$H$16</f>
        <v>455</v>
      </c>
      <c r="L28" s="27">
        <f t="shared" si="1"/>
        <v>1096.4590000000001</v>
      </c>
      <c r="M28" s="28"/>
      <c r="N28" s="31">
        <f t="shared" si="2"/>
        <v>142.50600000000009</v>
      </c>
      <c r="O28" s="32">
        <f t="shared" si="3"/>
        <v>0.1493847181150435</v>
      </c>
    </row>
    <row r="29" spans="2:15" hidden="1" x14ac:dyDescent="0.25">
      <c r="B29" s="22" t="s">
        <v>20</v>
      </c>
      <c r="C29" s="22"/>
      <c r="D29" s="23"/>
      <c r="E29" s="24"/>
      <c r="F29" s="25"/>
      <c r="G29" s="26">
        <f>$F$16</f>
        <v>192000</v>
      </c>
      <c r="H29" s="27">
        <f t="shared" si="0"/>
        <v>0</v>
      </c>
      <c r="I29" s="28"/>
      <c r="J29" s="29"/>
      <c r="K29" s="26">
        <f t="shared" ref="K29:K37" si="8">$F$16</f>
        <v>192000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idden="1" x14ac:dyDescent="0.25">
      <c r="B30" s="22" t="s">
        <v>21</v>
      </c>
      <c r="C30" s="22"/>
      <c r="D30" s="23"/>
      <c r="E30" s="24"/>
      <c r="F30" s="25"/>
      <c r="G30" s="26">
        <f>$F$16</f>
        <v>192000</v>
      </c>
      <c r="H30" s="27">
        <f t="shared" si="0"/>
        <v>0</v>
      </c>
      <c r="I30" s="28"/>
      <c r="J30" s="29"/>
      <c r="K30" s="26">
        <f t="shared" si="8"/>
        <v>192000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idden="1" x14ac:dyDescent="0.25">
      <c r="B31" s="33"/>
      <c r="C31" s="22"/>
      <c r="D31" s="23"/>
      <c r="E31" s="24"/>
      <c r="F31" s="25"/>
      <c r="G31" s="26">
        <f t="shared" ref="G31:G37" si="9">$F$16</f>
        <v>192000</v>
      </c>
      <c r="H31" s="27">
        <f t="shared" si="0"/>
        <v>0</v>
      </c>
      <c r="I31" s="28"/>
      <c r="J31" s="29"/>
      <c r="K31" s="26">
        <f t="shared" si="8"/>
        <v>192000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idden="1" x14ac:dyDescent="0.25">
      <c r="B32" s="33"/>
      <c r="C32" s="22"/>
      <c r="D32" s="23"/>
      <c r="E32" s="24"/>
      <c r="F32" s="25"/>
      <c r="G32" s="26">
        <f t="shared" si="9"/>
        <v>192000</v>
      </c>
      <c r="H32" s="27">
        <f t="shared" si="0"/>
        <v>0</v>
      </c>
      <c r="I32" s="28"/>
      <c r="J32" s="29"/>
      <c r="K32" s="26">
        <f t="shared" si="8"/>
        <v>192000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idden="1" x14ac:dyDescent="0.25">
      <c r="B33" s="33"/>
      <c r="C33" s="22"/>
      <c r="D33" s="23"/>
      <c r="E33" s="24"/>
      <c r="F33" s="25"/>
      <c r="G33" s="26">
        <f t="shared" si="9"/>
        <v>192000</v>
      </c>
      <c r="H33" s="27">
        <f t="shared" si="0"/>
        <v>0</v>
      </c>
      <c r="I33" s="28"/>
      <c r="J33" s="29"/>
      <c r="K33" s="26">
        <f t="shared" si="8"/>
        <v>192000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idden="1" x14ac:dyDescent="0.25">
      <c r="B34" s="33"/>
      <c r="C34" s="22"/>
      <c r="D34" s="23"/>
      <c r="E34" s="24"/>
      <c r="F34" s="25"/>
      <c r="G34" s="26">
        <f t="shared" si="9"/>
        <v>192000</v>
      </c>
      <c r="H34" s="27">
        <f t="shared" si="0"/>
        <v>0</v>
      </c>
      <c r="I34" s="28"/>
      <c r="J34" s="29"/>
      <c r="K34" s="26">
        <f t="shared" si="8"/>
        <v>192000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idden="1" x14ac:dyDescent="0.25">
      <c r="B35" s="33"/>
      <c r="C35" s="22"/>
      <c r="D35" s="23"/>
      <c r="E35" s="24"/>
      <c r="F35" s="25"/>
      <c r="G35" s="26">
        <f t="shared" si="9"/>
        <v>192000</v>
      </c>
      <c r="H35" s="27">
        <f t="shared" si="0"/>
        <v>0</v>
      </c>
      <c r="I35" s="28"/>
      <c r="J35" s="29"/>
      <c r="K35" s="26">
        <f t="shared" si="8"/>
        <v>192000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idden="1" x14ac:dyDescent="0.25">
      <c r="B36" s="33"/>
      <c r="C36" s="22"/>
      <c r="D36" s="23"/>
      <c r="E36" s="24"/>
      <c r="F36" s="25"/>
      <c r="G36" s="26">
        <f t="shared" si="9"/>
        <v>192000</v>
      </c>
      <c r="H36" s="27">
        <f t="shared" si="0"/>
        <v>0</v>
      </c>
      <c r="I36" s="28"/>
      <c r="J36" s="29"/>
      <c r="K36" s="26">
        <f t="shared" si="8"/>
        <v>192000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hidden="1" x14ac:dyDescent="0.25">
      <c r="B37" s="33"/>
      <c r="C37" s="22"/>
      <c r="D37" s="23"/>
      <c r="E37" s="24"/>
      <c r="F37" s="25"/>
      <c r="G37" s="26">
        <f t="shared" si="9"/>
        <v>192000</v>
      </c>
      <c r="H37" s="27">
        <f t="shared" si="0"/>
        <v>0</v>
      </c>
      <c r="I37" s="28"/>
      <c r="J37" s="29"/>
      <c r="K37" s="26">
        <f t="shared" si="8"/>
        <v>192000</v>
      </c>
      <c r="L37" s="27">
        <f t="shared" si="1"/>
        <v>0</v>
      </c>
      <c r="M37" s="28"/>
      <c r="N37" s="31">
        <f t="shared" si="2"/>
        <v>0</v>
      </c>
      <c r="O37" s="32" t="str">
        <f t="shared" si="3"/>
        <v/>
      </c>
    </row>
    <row r="38" spans="2:15" s="34" customFormat="1" x14ac:dyDescent="0.25">
      <c r="B38" s="35" t="s">
        <v>22</v>
      </c>
      <c r="C38" s="36"/>
      <c r="D38" s="37"/>
      <c r="E38" s="36"/>
      <c r="F38" s="38"/>
      <c r="G38" s="39"/>
      <c r="H38" s="40">
        <f>SUM(H21:H37)</f>
        <v>1236.912</v>
      </c>
      <c r="I38" s="41"/>
      <c r="J38" s="42"/>
      <c r="K38" s="43"/>
      <c r="L38" s="40">
        <f>SUM(L21:L37)</f>
        <v>167.45704890430966</v>
      </c>
      <c r="M38" s="41"/>
      <c r="N38" s="44">
        <f t="shared" si="2"/>
        <v>-1069.4549510956904</v>
      </c>
      <c r="O38" s="45">
        <f t="shared" si="3"/>
        <v>-0.86461684509139725</v>
      </c>
    </row>
    <row r="39" spans="2:15" x14ac:dyDescent="0.25">
      <c r="B39" s="46" t="s">
        <v>23</v>
      </c>
      <c r="C39" s="22"/>
      <c r="D39" s="56" t="s">
        <v>70</v>
      </c>
      <c r="E39" s="57"/>
      <c r="F39" s="29">
        <v>-0.72409999999999997</v>
      </c>
      <c r="G39" s="178">
        <f>G28</f>
        <v>455</v>
      </c>
      <c r="H39" s="27">
        <f t="shared" ref="H39:H45" si="10">G39*F39</f>
        <v>-329.46549999999996</v>
      </c>
      <c r="I39" s="28"/>
      <c r="J39" s="29">
        <f>'[4]6. Rate Rider Calculations'!$F$22</f>
        <v>0.5491175066874534</v>
      </c>
      <c r="K39" s="178">
        <f>H16</f>
        <v>455</v>
      </c>
      <c r="L39" s="27">
        <f t="shared" ref="L39:L45" si="11">K39*J39</f>
        <v>249.8484655427913</v>
      </c>
      <c r="M39" s="28"/>
      <c r="N39" s="31">
        <f t="shared" si="2"/>
        <v>579.31396554279127</v>
      </c>
      <c r="O39" s="32">
        <f t="shared" si="3"/>
        <v>-1.758344851108208</v>
      </c>
    </row>
    <row r="40" spans="2:15" hidden="1" x14ac:dyDescent="0.25">
      <c r="B40" s="46"/>
      <c r="C40" s="22"/>
      <c r="D40" s="23" t="s">
        <v>70</v>
      </c>
      <c r="E40" s="24"/>
      <c r="F40" s="25"/>
      <c r="G40" s="178">
        <f>H16</f>
        <v>455</v>
      </c>
      <c r="H40" s="27">
        <f t="shared" si="10"/>
        <v>0</v>
      </c>
      <c r="I40" s="47"/>
      <c r="J40" s="29"/>
      <c r="K40" s="178">
        <f>H16</f>
        <v>455</v>
      </c>
      <c r="L40" s="27">
        <f t="shared" si="11"/>
        <v>0</v>
      </c>
      <c r="M40" s="48"/>
      <c r="N40" s="31">
        <f t="shared" si="2"/>
        <v>0</v>
      </c>
      <c r="O40" s="32" t="str">
        <f t="shared" si="3"/>
        <v/>
      </c>
    </row>
    <row r="41" spans="2:15" hidden="1" x14ac:dyDescent="0.25">
      <c r="B41" s="46"/>
      <c r="C41" s="22"/>
      <c r="D41" s="23" t="s">
        <v>70</v>
      </c>
      <c r="E41" s="24"/>
      <c r="F41" s="25"/>
      <c r="G41" s="178">
        <f>H16</f>
        <v>455</v>
      </c>
      <c r="H41" s="27">
        <f t="shared" si="10"/>
        <v>0</v>
      </c>
      <c r="I41" s="47"/>
      <c r="J41" s="29"/>
      <c r="K41" s="178">
        <f>H16</f>
        <v>455</v>
      </c>
      <c r="L41" s="27">
        <f t="shared" si="11"/>
        <v>0</v>
      </c>
      <c r="M41" s="48"/>
      <c r="N41" s="31">
        <f t="shared" si="2"/>
        <v>0</v>
      </c>
      <c r="O41" s="32" t="str">
        <f t="shared" si="3"/>
        <v/>
      </c>
    </row>
    <row r="42" spans="2:15" ht="32.25" customHeight="1" x14ac:dyDescent="0.25">
      <c r="B42" s="46" t="s">
        <v>74</v>
      </c>
      <c r="C42" s="22"/>
      <c r="D42" s="56" t="s">
        <v>70</v>
      </c>
      <c r="E42" s="24"/>
      <c r="F42" s="29">
        <v>0.32969999999999999</v>
      </c>
      <c r="G42" s="178">
        <f>H16</f>
        <v>455</v>
      </c>
      <c r="H42" s="27">
        <f t="shared" si="10"/>
        <v>150.01349999999999</v>
      </c>
      <c r="I42" s="47"/>
      <c r="J42" s="29">
        <f>'[4]6. Rate Rider Calculations'!$F$49</f>
        <v>0.71861469582309112</v>
      </c>
      <c r="K42" s="178">
        <f>H16</f>
        <v>455</v>
      </c>
      <c r="L42" s="27">
        <f t="shared" si="11"/>
        <v>326.96968659950647</v>
      </c>
      <c r="M42" s="48"/>
      <c r="N42" s="31">
        <f t="shared" si="2"/>
        <v>176.95618659950648</v>
      </c>
      <c r="O42" s="32">
        <f t="shared" si="3"/>
        <v>1.179601746506191</v>
      </c>
    </row>
    <row r="43" spans="2:15" x14ac:dyDescent="0.25">
      <c r="B43" s="49" t="s">
        <v>24</v>
      </c>
      <c r="C43" s="22"/>
      <c r="D43" s="23" t="s">
        <v>70</v>
      </c>
      <c r="E43" s="24"/>
      <c r="F43" s="197">
        <v>1.3899999999999999E-2</v>
      </c>
      <c r="G43" s="178">
        <f>H16</f>
        <v>455</v>
      </c>
      <c r="H43" s="27">
        <f t="shared" si="10"/>
        <v>6.3244999999999996</v>
      </c>
      <c r="I43" s="28"/>
      <c r="J43" s="29">
        <f>'[2]Rate Schedule '!$E$24</f>
        <v>2.58E-2</v>
      </c>
      <c r="K43" s="178">
        <f>H16</f>
        <v>455</v>
      </c>
      <c r="L43" s="27">
        <f t="shared" si="11"/>
        <v>11.739000000000001</v>
      </c>
      <c r="M43" s="28"/>
      <c r="N43" s="31">
        <f t="shared" si="2"/>
        <v>5.4145000000000012</v>
      </c>
      <c r="O43" s="32">
        <f t="shared" si="3"/>
        <v>0.85611510791366929</v>
      </c>
    </row>
    <row r="44" spans="2:15" s="34" customFormat="1" x14ac:dyDescent="0.25">
      <c r="B44" s="180" t="s">
        <v>25</v>
      </c>
      <c r="C44" s="24"/>
      <c r="D44" s="181" t="s">
        <v>61</v>
      </c>
      <c r="E44" s="24"/>
      <c r="F44" s="182">
        <f>IF(ISBLANK(D14)=TRUE, 0, IF(D14="TOU", 0.64*$F$54+0.18*$F$55+0.18*$F$56, IF(AND(D14="non-TOU", G58&gt;0), F58,F57)))</f>
        <v>7.4999999999999997E-2</v>
      </c>
      <c r="G44" s="26">
        <f>$F$16*(1+$F$73)-$F$16</f>
        <v>9216</v>
      </c>
      <c r="H44" s="183">
        <f t="shared" si="10"/>
        <v>691.19999999999993</v>
      </c>
      <c r="I44" s="57"/>
      <c r="J44" s="184">
        <f>IF(ISBLANK(D14)=TRUE, 0, IF(D14="TOU", 0.64*$F$54+0.18*$F$55+0.18*$F$56, IF(AND(D14="non-TOU", K58&gt;0), J58,J57)))</f>
        <v>7.4999999999999997E-2</v>
      </c>
      <c r="K44" s="26">
        <f>$F$16*(1+$J$73)-$F$16</f>
        <v>9043.1999999999825</v>
      </c>
      <c r="L44" s="183">
        <f t="shared" si="11"/>
        <v>678.23999999999864</v>
      </c>
      <c r="M44" s="57"/>
      <c r="N44" s="185">
        <f t="shared" si="2"/>
        <v>-12.960000000001287</v>
      </c>
      <c r="O44" s="186">
        <f t="shared" si="3"/>
        <v>-1.8750000000001862E-2</v>
      </c>
    </row>
    <row r="45" spans="2:15" x14ac:dyDescent="0.25">
      <c r="B45" s="49" t="s">
        <v>26</v>
      </c>
      <c r="C45" s="22"/>
      <c r="D45" s="23" t="s">
        <v>60</v>
      </c>
      <c r="E45" s="24"/>
      <c r="F45" s="177"/>
      <c r="G45" s="26">
        <v>0</v>
      </c>
      <c r="H45" s="27">
        <f t="shared" si="10"/>
        <v>0</v>
      </c>
      <c r="I45" s="28"/>
      <c r="J45" s="177"/>
      <c r="K45" s="26">
        <v>0</v>
      </c>
      <c r="L45" s="27">
        <f t="shared" si="11"/>
        <v>0</v>
      </c>
      <c r="M45" s="28"/>
      <c r="N45" s="31">
        <f t="shared" si="2"/>
        <v>0</v>
      </c>
      <c r="O45" s="32"/>
    </row>
    <row r="46" spans="2:15" ht="25.5" x14ac:dyDescent="0.25">
      <c r="B46" s="50" t="s">
        <v>27</v>
      </c>
      <c r="C46" s="51"/>
      <c r="D46" s="51"/>
      <c r="E46" s="51"/>
      <c r="F46" s="52"/>
      <c r="G46" s="53"/>
      <c r="H46" s="54">
        <f>SUM(H39:H45)+H38</f>
        <v>1754.9845</v>
      </c>
      <c r="I46" s="41"/>
      <c r="J46" s="53"/>
      <c r="K46" s="55"/>
      <c r="L46" s="54">
        <f>SUM(L39:L45)+L38</f>
        <v>1434.2542010466061</v>
      </c>
      <c r="M46" s="41"/>
      <c r="N46" s="44">
        <f t="shared" si="2"/>
        <v>-320.73029895339391</v>
      </c>
      <c r="O46" s="45">
        <f t="shared" ref="O46:O64" si="12">IF((H46)=0,"",(N46/H46))</f>
        <v>-0.18275392116192132</v>
      </c>
    </row>
    <row r="47" spans="2:15" x14ac:dyDescent="0.25">
      <c r="B47" s="28" t="s">
        <v>28</v>
      </c>
      <c r="C47" s="28"/>
      <c r="D47" s="56" t="s">
        <v>70</v>
      </c>
      <c r="E47" s="57"/>
      <c r="F47" s="29">
        <v>2.7265000000000001</v>
      </c>
      <c r="G47" s="58">
        <f>H16</f>
        <v>455</v>
      </c>
      <c r="H47" s="27">
        <f>G47*F47</f>
        <v>1240.5575000000001</v>
      </c>
      <c r="I47" s="28"/>
      <c r="J47" s="29">
        <f>'[5]13. Final 2015 RTS Rates'!$F$28</f>
        <v>2.8142271720183309</v>
      </c>
      <c r="K47" s="59">
        <f>H16</f>
        <v>455</v>
      </c>
      <c r="L47" s="27">
        <f>K47*J47</f>
        <v>1280.4733632683406</v>
      </c>
      <c r="M47" s="28"/>
      <c r="N47" s="31">
        <f t="shared" si="2"/>
        <v>39.915863268340445</v>
      </c>
      <c r="O47" s="32">
        <f t="shared" si="12"/>
        <v>3.2175746201478318E-2</v>
      </c>
    </row>
    <row r="48" spans="2:15" x14ac:dyDescent="0.25">
      <c r="B48" s="60" t="s">
        <v>29</v>
      </c>
      <c r="C48" s="28"/>
      <c r="D48" s="56" t="s">
        <v>70</v>
      </c>
      <c r="E48" s="57"/>
      <c r="F48" s="29">
        <v>2.0265</v>
      </c>
      <c r="G48" s="58">
        <f>G47</f>
        <v>455</v>
      </c>
      <c r="H48" s="27">
        <f>G48*F48</f>
        <v>922.0575</v>
      </c>
      <c r="I48" s="28"/>
      <c r="J48" s="29">
        <f>'[5]13. Final 2015 RTS Rates'!$H$28</f>
        <v>2.0809855933033821</v>
      </c>
      <c r="K48" s="59">
        <f>K47</f>
        <v>455</v>
      </c>
      <c r="L48" s="27">
        <f>K48*J48</f>
        <v>946.84844495303889</v>
      </c>
      <c r="M48" s="28"/>
      <c r="N48" s="31">
        <f t="shared" si="2"/>
        <v>24.790944953038888</v>
      </c>
      <c r="O48" s="32">
        <f t="shared" si="12"/>
        <v>2.6886549865967023E-2</v>
      </c>
    </row>
    <row r="49" spans="2:19" x14ac:dyDescent="0.25">
      <c r="B49" s="50" t="s">
        <v>30</v>
      </c>
      <c r="C49" s="36"/>
      <c r="D49" s="36"/>
      <c r="E49" s="36"/>
      <c r="F49" s="61"/>
      <c r="G49" s="53"/>
      <c r="H49" s="54">
        <f>SUM(H46:H48)</f>
        <v>3917.5995000000003</v>
      </c>
      <c r="I49" s="62"/>
      <c r="J49" s="63"/>
      <c r="K49" s="64"/>
      <c r="L49" s="54">
        <f>SUM(L46:L48)</f>
        <v>3661.5760092679857</v>
      </c>
      <c r="M49" s="62"/>
      <c r="N49" s="44">
        <f t="shared" si="2"/>
        <v>-256.02349073201458</v>
      </c>
      <c r="O49" s="45">
        <f t="shared" si="12"/>
        <v>-6.5352134829508371E-2</v>
      </c>
    </row>
    <row r="50" spans="2:19" x14ac:dyDescent="0.25">
      <c r="B50" s="65" t="s">
        <v>31</v>
      </c>
      <c r="C50" s="22"/>
      <c r="D50" s="23" t="s">
        <v>61</v>
      </c>
      <c r="E50" s="24"/>
      <c r="F50" s="66">
        <v>4.4000000000000003E-3</v>
      </c>
      <c r="G50" s="58">
        <f>F16*(1+F73)</f>
        <v>201216</v>
      </c>
      <c r="H50" s="67">
        <f t="shared" ref="H50:H56" si="13">G50*F50</f>
        <v>885.35040000000004</v>
      </c>
      <c r="I50" s="28"/>
      <c r="J50" s="66">
        <v>4.4000000000000003E-3</v>
      </c>
      <c r="K50" s="59">
        <f>F16*(1+J73)</f>
        <v>201043.19999999998</v>
      </c>
      <c r="L50" s="67">
        <f t="shared" ref="L50:L56" si="14">K50*J50</f>
        <v>884.59007999999994</v>
      </c>
      <c r="M50" s="28"/>
      <c r="N50" s="31">
        <f t="shared" si="2"/>
        <v>-0.76032000000009248</v>
      </c>
      <c r="O50" s="68">
        <f t="shared" si="12"/>
        <v>-8.5877862595430286E-4</v>
      </c>
    </row>
    <row r="51" spans="2:19" x14ac:dyDescent="0.25">
      <c r="B51" s="65" t="s">
        <v>32</v>
      </c>
      <c r="C51" s="22"/>
      <c r="D51" s="23" t="s">
        <v>61</v>
      </c>
      <c r="E51" s="24"/>
      <c r="F51" s="66">
        <v>1.2999999999999999E-3</v>
      </c>
      <c r="G51" s="58">
        <f>G50</f>
        <v>201216</v>
      </c>
      <c r="H51" s="67">
        <f t="shared" si="13"/>
        <v>261.58080000000001</v>
      </c>
      <c r="I51" s="28"/>
      <c r="J51" s="66">
        <v>1.2999999999999999E-3</v>
      </c>
      <c r="K51" s="59">
        <f>K50</f>
        <v>201043.19999999998</v>
      </c>
      <c r="L51" s="67">
        <f t="shared" si="14"/>
        <v>261.35615999999999</v>
      </c>
      <c r="M51" s="28"/>
      <c r="N51" s="31">
        <f t="shared" si="2"/>
        <v>-0.22464000000002216</v>
      </c>
      <c r="O51" s="68">
        <f t="shared" si="12"/>
        <v>-8.5877862595428313E-4</v>
      </c>
    </row>
    <row r="52" spans="2:19" x14ac:dyDescent="0.25">
      <c r="B52" s="22" t="s">
        <v>33</v>
      </c>
      <c r="C52" s="22"/>
      <c r="D52" s="23" t="s">
        <v>60</v>
      </c>
      <c r="E52" s="24"/>
      <c r="F52" s="176">
        <v>0.25</v>
      </c>
      <c r="G52" s="26">
        <v>1</v>
      </c>
      <c r="H52" s="67">
        <f t="shared" si="13"/>
        <v>0.25</v>
      </c>
      <c r="I52" s="28"/>
      <c r="J52" s="176">
        <v>0.25</v>
      </c>
      <c r="K52" s="30">
        <v>1</v>
      </c>
      <c r="L52" s="67">
        <f t="shared" si="14"/>
        <v>0.25</v>
      </c>
      <c r="M52" s="28"/>
      <c r="N52" s="31">
        <f t="shared" si="2"/>
        <v>0</v>
      </c>
      <c r="O52" s="68">
        <f t="shared" si="12"/>
        <v>0</v>
      </c>
    </row>
    <row r="53" spans="2:19" x14ac:dyDescent="0.25">
      <c r="B53" s="22" t="s">
        <v>34</v>
      </c>
      <c r="C53" s="22"/>
      <c r="D53" s="23" t="s">
        <v>61</v>
      </c>
      <c r="E53" s="24"/>
      <c r="F53" s="66">
        <v>7.0000000000000001E-3</v>
      </c>
      <c r="G53" s="69">
        <f>F16</f>
        <v>192000</v>
      </c>
      <c r="H53" s="67">
        <f t="shared" si="13"/>
        <v>1344</v>
      </c>
      <c r="I53" s="28"/>
      <c r="J53" s="66">
        <v>7.0000000000000001E-3</v>
      </c>
      <c r="K53" s="70">
        <f>F16</f>
        <v>192000</v>
      </c>
      <c r="L53" s="67">
        <f t="shared" si="14"/>
        <v>1344</v>
      </c>
      <c r="M53" s="28"/>
      <c r="N53" s="31">
        <f t="shared" si="2"/>
        <v>0</v>
      </c>
      <c r="O53" s="68">
        <f t="shared" si="12"/>
        <v>0</v>
      </c>
    </row>
    <row r="54" spans="2:19" ht="15.75" thickBot="1" x14ac:dyDescent="0.3">
      <c r="B54" s="49" t="s">
        <v>73</v>
      </c>
      <c r="C54" s="22"/>
      <c r="D54" s="23" t="s">
        <v>61</v>
      </c>
      <c r="E54" s="24"/>
      <c r="F54" s="66">
        <v>8.2699999999999996E-2</v>
      </c>
      <c r="G54" s="69">
        <f>F16</f>
        <v>192000</v>
      </c>
      <c r="H54" s="67">
        <f t="shared" si="13"/>
        <v>15878.4</v>
      </c>
      <c r="I54" s="28"/>
      <c r="J54" s="66">
        <v>8.2699999999999996E-2</v>
      </c>
      <c r="K54" s="69">
        <f>G54</f>
        <v>192000</v>
      </c>
      <c r="L54" s="67">
        <f t="shared" si="14"/>
        <v>15878.4</v>
      </c>
      <c r="M54" s="28"/>
      <c r="N54" s="31">
        <f t="shared" si="2"/>
        <v>0</v>
      </c>
      <c r="O54" s="68">
        <f t="shared" si="12"/>
        <v>0</v>
      </c>
      <c r="S54" s="72"/>
    </row>
    <row r="55" spans="2:19" ht="15.75" hidden="1" thickBot="1" x14ac:dyDescent="0.3">
      <c r="B55" s="49" t="s">
        <v>36</v>
      </c>
      <c r="C55" s="22"/>
      <c r="D55" s="23"/>
      <c r="E55" s="24"/>
      <c r="F55" s="71">
        <v>0.104</v>
      </c>
      <c r="G55" s="69">
        <v>0</v>
      </c>
      <c r="H55" s="67">
        <f t="shared" si="13"/>
        <v>0</v>
      </c>
      <c r="I55" s="28"/>
      <c r="J55" s="66">
        <v>0.104</v>
      </c>
      <c r="K55" s="69">
        <v>0</v>
      </c>
      <c r="L55" s="67">
        <f t="shared" si="14"/>
        <v>0</v>
      </c>
      <c r="M55" s="28"/>
      <c r="N55" s="31">
        <f t="shared" si="2"/>
        <v>0</v>
      </c>
      <c r="O55" s="68" t="str">
        <f t="shared" si="12"/>
        <v/>
      </c>
      <c r="S55" s="72"/>
    </row>
    <row r="56" spans="2:19" ht="15.75" hidden="1" thickBot="1" x14ac:dyDescent="0.3">
      <c r="B56" s="12" t="s">
        <v>37</v>
      </c>
      <c r="C56" s="22"/>
      <c r="D56" s="23"/>
      <c r="E56" s="24"/>
      <c r="F56" s="71">
        <v>0.124</v>
      </c>
      <c r="G56" s="69">
        <v>0</v>
      </c>
      <c r="H56" s="67">
        <f t="shared" si="13"/>
        <v>0</v>
      </c>
      <c r="I56" s="28"/>
      <c r="J56" s="66">
        <v>0.124</v>
      </c>
      <c r="K56" s="69">
        <v>0</v>
      </c>
      <c r="L56" s="67">
        <f t="shared" si="14"/>
        <v>0</v>
      </c>
      <c r="M56" s="28"/>
      <c r="N56" s="31">
        <f t="shared" si="2"/>
        <v>0</v>
      </c>
      <c r="O56" s="68" t="str">
        <f t="shared" si="12"/>
        <v/>
      </c>
      <c r="S56" s="72"/>
    </row>
    <row r="57" spans="2:19" s="73" customFormat="1" ht="15.75" hidden="1" thickBot="1" x14ac:dyDescent="0.25">
      <c r="B57" s="179" t="s">
        <v>38</v>
      </c>
      <c r="C57" s="75"/>
      <c r="D57" s="76"/>
      <c r="E57" s="77"/>
      <c r="F57" s="71">
        <v>7.4999999999999997E-2</v>
      </c>
      <c r="G57" s="78">
        <v>0</v>
      </c>
      <c r="H57" s="67">
        <f>G57*F57</f>
        <v>0</v>
      </c>
      <c r="I57" s="79"/>
      <c r="J57" s="66">
        <v>7.4999999999999997E-2</v>
      </c>
      <c r="K57" s="78">
        <f>G57</f>
        <v>0</v>
      </c>
      <c r="L57" s="67">
        <f>K57*J57</f>
        <v>0</v>
      </c>
      <c r="M57" s="79"/>
      <c r="N57" s="80">
        <f t="shared" si="2"/>
        <v>0</v>
      </c>
      <c r="O57" s="68" t="str">
        <f t="shared" si="12"/>
        <v/>
      </c>
    </row>
    <row r="58" spans="2:19" s="73" customFormat="1" ht="15.75" hidden="1" thickBot="1" x14ac:dyDescent="0.25">
      <c r="B58" s="179" t="s">
        <v>39</v>
      </c>
      <c r="C58" s="75"/>
      <c r="D58" s="76"/>
      <c r="E58" s="77"/>
      <c r="F58" s="71">
        <v>8.7999999999999995E-2</v>
      </c>
      <c r="G58" s="78">
        <v>0</v>
      </c>
      <c r="H58" s="67">
        <f>G58*F58</f>
        <v>0</v>
      </c>
      <c r="I58" s="79"/>
      <c r="J58" s="66">
        <v>8.7999999999999995E-2</v>
      </c>
      <c r="K58" s="78">
        <f>G58</f>
        <v>0</v>
      </c>
      <c r="L58" s="67">
        <f>K58*J58</f>
        <v>0</v>
      </c>
      <c r="M58" s="79"/>
      <c r="N58" s="80">
        <f t="shared" si="2"/>
        <v>0</v>
      </c>
      <c r="O58" s="68" t="str">
        <f t="shared" si="12"/>
        <v/>
      </c>
    </row>
    <row r="59" spans="2:19" ht="15.75" hidden="1" thickBot="1" x14ac:dyDescent="0.3">
      <c r="B59" s="81"/>
      <c r="C59" s="82"/>
      <c r="D59" s="83"/>
      <c r="E59" s="82"/>
      <c r="F59" s="84"/>
      <c r="G59" s="85"/>
      <c r="H59" s="86"/>
      <c r="I59" s="87"/>
      <c r="J59" s="84"/>
      <c r="K59" s="88"/>
      <c r="L59" s="86"/>
      <c r="M59" s="87"/>
      <c r="N59" s="89"/>
      <c r="O59" s="90"/>
    </row>
    <row r="60" spans="2:19" ht="15.75" hidden="1" thickBot="1" x14ac:dyDescent="0.3">
      <c r="B60" s="91" t="s">
        <v>40</v>
      </c>
      <c r="C60" s="22"/>
      <c r="D60" s="22"/>
      <c r="E60" s="22"/>
      <c r="F60" s="92"/>
      <c r="G60" s="93"/>
      <c r="H60" s="94">
        <f>SUM(H50:H56,H49)</f>
        <v>22287.180700000001</v>
      </c>
      <c r="I60" s="95"/>
      <c r="J60" s="96"/>
      <c r="K60" s="96"/>
      <c r="L60" s="94">
        <f>SUM(L50:L56,L49)</f>
        <v>22030.172249267984</v>
      </c>
      <c r="M60" s="97"/>
      <c r="N60" s="98">
        <f>L60-H60</f>
        <v>-257.00845073201708</v>
      </c>
      <c r="O60" s="99">
        <f>IF((H60)=0,"",(N60/H60))</f>
        <v>-1.1531671690175558E-2</v>
      </c>
      <c r="S60" s="72"/>
    </row>
    <row r="61" spans="2:19" ht="15.75" hidden="1" thickBot="1" x14ac:dyDescent="0.3">
      <c r="B61" s="100" t="s">
        <v>41</v>
      </c>
      <c r="C61" s="22"/>
      <c r="D61" s="22"/>
      <c r="E61" s="22"/>
      <c r="F61" s="101">
        <v>0.13</v>
      </c>
      <c r="G61" s="102"/>
      <c r="H61" s="103">
        <f>H60*F61</f>
        <v>2897.3334910000003</v>
      </c>
      <c r="I61" s="104"/>
      <c r="J61" s="105">
        <v>0.13</v>
      </c>
      <c r="K61" s="104"/>
      <c r="L61" s="106">
        <f>L60*J61</f>
        <v>2863.9223924048379</v>
      </c>
      <c r="M61" s="107"/>
      <c r="N61" s="108">
        <f t="shared" si="2"/>
        <v>-33.411098595162457</v>
      </c>
      <c r="O61" s="109">
        <f t="shared" si="12"/>
        <v>-1.1531671690175639E-2</v>
      </c>
      <c r="S61" s="72"/>
    </row>
    <row r="62" spans="2:19" ht="15.75" hidden="1" thickBot="1" x14ac:dyDescent="0.3">
      <c r="B62" s="110" t="s">
        <v>42</v>
      </c>
      <c r="C62" s="22"/>
      <c r="D62" s="22"/>
      <c r="E62" s="22"/>
      <c r="F62" s="111"/>
      <c r="G62" s="102"/>
      <c r="H62" s="103">
        <f>H60+H61</f>
        <v>25184.514191000002</v>
      </c>
      <c r="I62" s="104"/>
      <c r="J62" s="104"/>
      <c r="K62" s="104"/>
      <c r="L62" s="106">
        <f>L60+L61</f>
        <v>24894.094641672822</v>
      </c>
      <c r="M62" s="107"/>
      <c r="N62" s="108">
        <f t="shared" si="2"/>
        <v>-290.41954932717999</v>
      </c>
      <c r="O62" s="109">
        <f t="shared" si="12"/>
        <v>-1.1531671690175585E-2</v>
      </c>
      <c r="S62" s="72"/>
    </row>
    <row r="63" spans="2:19" ht="15.75" hidden="1" thickBot="1" x14ac:dyDescent="0.3">
      <c r="B63" s="240" t="s">
        <v>43</v>
      </c>
      <c r="C63" s="240"/>
      <c r="D63" s="240"/>
      <c r="E63" s="22"/>
      <c r="F63" s="111"/>
      <c r="G63" s="102"/>
      <c r="H63" s="112">
        <f>ROUND(-H62*10%,2)</f>
        <v>-2518.4499999999998</v>
      </c>
      <c r="I63" s="104"/>
      <c r="J63" s="104"/>
      <c r="K63" s="104"/>
      <c r="L63" s="113">
        <f>ROUND(-L62*10%,2)</f>
        <v>-2489.41</v>
      </c>
      <c r="M63" s="107"/>
      <c r="N63" s="114">
        <f t="shared" si="2"/>
        <v>29.039999999999964</v>
      </c>
      <c r="O63" s="115">
        <f t="shared" si="12"/>
        <v>-1.1530901943655806E-2</v>
      </c>
    </row>
    <row r="64" spans="2:19" ht="15.75" hidden="1" thickBot="1" x14ac:dyDescent="0.3">
      <c r="B64" s="246" t="s">
        <v>44</v>
      </c>
      <c r="C64" s="246"/>
      <c r="D64" s="246"/>
      <c r="E64" s="116"/>
      <c r="F64" s="117"/>
      <c r="G64" s="118"/>
      <c r="H64" s="119">
        <f>H62+H63</f>
        <v>22666.064191000001</v>
      </c>
      <c r="I64" s="120"/>
      <c r="J64" s="120"/>
      <c r="K64" s="120"/>
      <c r="L64" s="121">
        <f>L62+L63</f>
        <v>22404.684641672822</v>
      </c>
      <c r="M64" s="122"/>
      <c r="N64" s="123">
        <f t="shared" si="2"/>
        <v>-261.37954932717912</v>
      </c>
      <c r="O64" s="124">
        <f t="shared" si="12"/>
        <v>-1.1531757217513084E-2</v>
      </c>
    </row>
    <row r="65" spans="1:15" s="73" customFormat="1" ht="15.75" thickBot="1" x14ac:dyDescent="0.25">
      <c r="B65" s="125"/>
      <c r="C65" s="126"/>
      <c r="D65" s="127"/>
      <c r="E65" s="126"/>
      <c r="F65" s="84"/>
      <c r="G65" s="128"/>
      <c r="H65" s="86"/>
      <c r="I65" s="129"/>
      <c r="J65" s="84"/>
      <c r="K65" s="130"/>
      <c r="L65" s="86"/>
      <c r="M65" s="129"/>
      <c r="N65" s="131"/>
      <c r="O65" s="90"/>
    </row>
    <row r="66" spans="1:15" s="73" customFormat="1" ht="12.75" x14ac:dyDescent="0.2">
      <c r="B66" s="132" t="s">
        <v>45</v>
      </c>
      <c r="C66" s="75"/>
      <c r="D66" s="75"/>
      <c r="E66" s="75"/>
      <c r="F66" s="133"/>
      <c r="G66" s="134"/>
      <c r="H66" s="135">
        <f>SUM(H54,H49,H50:H53)</f>
        <v>22287.180699999997</v>
      </c>
      <c r="I66" s="136"/>
      <c r="J66" s="137"/>
      <c r="K66" s="137"/>
      <c r="L66" s="188">
        <f>SUM(L54,L49,L50:L53)</f>
        <v>22030.172249267987</v>
      </c>
      <c r="M66" s="138"/>
      <c r="N66" s="139">
        <f>L66-H66</f>
        <v>-257.00845073200981</v>
      </c>
      <c r="O66" s="99">
        <f>IF((H66)=0,"",(N66/H66))</f>
        <v>-1.1531671690175233E-2</v>
      </c>
    </row>
    <row r="67" spans="1:15" s="73" customFormat="1" ht="12.75" x14ac:dyDescent="0.2">
      <c r="B67" s="140" t="s">
        <v>41</v>
      </c>
      <c r="C67" s="75"/>
      <c r="D67" s="75"/>
      <c r="E67" s="75"/>
      <c r="F67" s="141">
        <v>0.13</v>
      </c>
      <c r="G67" s="134"/>
      <c r="H67" s="142">
        <f>H66*F67</f>
        <v>2897.3334909999999</v>
      </c>
      <c r="I67" s="143"/>
      <c r="J67" s="144">
        <v>0.13</v>
      </c>
      <c r="K67" s="145"/>
      <c r="L67" s="146">
        <f>L66*J67</f>
        <v>2863.9223924048383</v>
      </c>
      <c r="M67" s="147"/>
      <c r="N67" s="148">
        <f>L67-H67</f>
        <v>-33.411098595161548</v>
      </c>
      <c r="O67" s="109">
        <f>IF((H67)=0,"",(N67/H67))</f>
        <v>-1.1531671690175327E-2</v>
      </c>
    </row>
    <row r="68" spans="1:15" s="73" customFormat="1" ht="12.75" x14ac:dyDescent="0.2">
      <c r="B68" s="149" t="s">
        <v>42</v>
      </c>
      <c r="C68" s="75"/>
      <c r="D68" s="75"/>
      <c r="E68" s="75"/>
      <c r="F68" s="150"/>
      <c r="G68" s="151"/>
      <c r="H68" s="142">
        <f>H66+H67</f>
        <v>25184.514190999998</v>
      </c>
      <c r="I68" s="143"/>
      <c r="J68" s="143"/>
      <c r="K68" s="143"/>
      <c r="L68" s="146">
        <f>L66+L67</f>
        <v>24894.094641672826</v>
      </c>
      <c r="M68" s="147"/>
      <c r="N68" s="148">
        <f>L68-H68</f>
        <v>-290.41954932717272</v>
      </c>
      <c r="O68" s="109">
        <f>IF((H68)=0,"",(N68/H68))</f>
        <v>-1.1531671690175297E-2</v>
      </c>
    </row>
    <row r="69" spans="1:15" s="73" customFormat="1" ht="12.75" x14ac:dyDescent="0.2">
      <c r="B69" s="241" t="s">
        <v>43</v>
      </c>
      <c r="C69" s="241"/>
      <c r="D69" s="241"/>
      <c r="E69" s="75"/>
      <c r="F69" s="150"/>
      <c r="G69" s="151"/>
      <c r="H69" s="152"/>
      <c r="I69" s="143"/>
      <c r="J69" s="143"/>
      <c r="K69" s="143"/>
      <c r="L69" s="153"/>
      <c r="M69" s="147"/>
      <c r="N69" s="154">
        <f>L69-H69</f>
        <v>0</v>
      </c>
      <c r="O69" s="115" t="str">
        <f>IF((H69)=0,"",(N69/H69))</f>
        <v/>
      </c>
    </row>
    <row r="70" spans="1:15" s="73" customFormat="1" ht="13.5" thickBot="1" x14ac:dyDescent="0.25">
      <c r="B70" s="233" t="s">
        <v>46</v>
      </c>
      <c r="C70" s="233"/>
      <c r="D70" s="233"/>
      <c r="E70" s="155"/>
      <c r="F70" s="156"/>
      <c r="G70" s="157"/>
      <c r="H70" s="158">
        <f>SUM(H68:H69)</f>
        <v>25184.514190999998</v>
      </c>
      <c r="I70" s="159"/>
      <c r="J70" s="159"/>
      <c r="K70" s="159"/>
      <c r="L70" s="160">
        <f>SUM(L68:L69)</f>
        <v>24894.094641672826</v>
      </c>
      <c r="M70" s="161"/>
      <c r="N70" s="162">
        <f>L70-H70</f>
        <v>-290.41954932717272</v>
      </c>
      <c r="O70" s="163">
        <f>IF((H70)=0,"",(N70/H70))</f>
        <v>-1.1531671690175297E-2</v>
      </c>
    </row>
    <row r="71" spans="1:15" s="73" customFormat="1" ht="15.75" thickBot="1" x14ac:dyDescent="0.25">
      <c r="B71" s="125"/>
      <c r="C71" s="126"/>
      <c r="D71" s="127"/>
      <c r="E71" s="126"/>
      <c r="F71" s="164"/>
      <c r="G71" s="165"/>
      <c r="H71" s="166"/>
      <c r="I71" s="167"/>
      <c r="J71" s="164"/>
      <c r="K71" s="128"/>
      <c r="L71" s="168"/>
      <c r="M71" s="129"/>
      <c r="N71" s="169"/>
      <c r="O71" s="90"/>
    </row>
    <row r="72" spans="1:15" x14ac:dyDescent="0.25">
      <c r="L72" s="72"/>
    </row>
    <row r="73" spans="1:15" x14ac:dyDescent="0.25">
      <c r="B73" s="13" t="s">
        <v>47</v>
      </c>
      <c r="F73" s="170">
        <v>4.8000000000000001E-2</v>
      </c>
      <c r="J73" s="170">
        <f>'Res (100kWh)'!$J$74</f>
        <v>4.7100000000000003E-2</v>
      </c>
    </row>
    <row r="75" spans="1:15" x14ac:dyDescent="0.25">
      <c r="A75" s="171" t="s">
        <v>48</v>
      </c>
    </row>
    <row r="77" spans="1:15" x14ac:dyDescent="0.25">
      <c r="A77" s="7" t="s">
        <v>49</v>
      </c>
    </row>
    <row r="78" spans="1:15" x14ac:dyDescent="0.25">
      <c r="A78" s="7" t="s">
        <v>50</v>
      </c>
    </row>
    <row r="80" spans="1:15" x14ac:dyDescent="0.25">
      <c r="A80" s="12" t="s">
        <v>51</v>
      </c>
    </row>
    <row r="81" spans="1:2" x14ac:dyDescent="0.25">
      <c r="A81" s="12" t="s">
        <v>52</v>
      </c>
    </row>
    <row r="83" spans="1:2" x14ac:dyDescent="0.25">
      <c r="A83" s="7" t="s">
        <v>53</v>
      </c>
    </row>
    <row r="84" spans="1:2" x14ac:dyDescent="0.25">
      <c r="A84" s="7" t="s">
        <v>54</v>
      </c>
    </row>
    <row r="85" spans="1:2" x14ac:dyDescent="0.25">
      <c r="A85" s="7" t="s">
        <v>55</v>
      </c>
    </row>
    <row r="86" spans="1:2" x14ac:dyDescent="0.25">
      <c r="A86" s="7" t="s">
        <v>56</v>
      </c>
    </row>
    <row r="87" spans="1:2" x14ac:dyDescent="0.25">
      <c r="A87" s="7" t="s">
        <v>57</v>
      </c>
    </row>
    <row r="89" spans="1:2" x14ac:dyDescent="0.25">
      <c r="A89" s="172"/>
      <c r="B89" s="7" t="s">
        <v>58</v>
      </c>
    </row>
  </sheetData>
  <mergeCells count="17">
    <mergeCell ref="B63:D63"/>
    <mergeCell ref="B64:D64"/>
    <mergeCell ref="B69:D69"/>
    <mergeCell ref="B70:D70"/>
    <mergeCell ref="B9:O9"/>
    <mergeCell ref="D12:O12"/>
    <mergeCell ref="F18:H18"/>
    <mergeCell ref="J18:L18"/>
    <mergeCell ref="N18:O18"/>
    <mergeCell ref="D19:D20"/>
    <mergeCell ref="N19:N20"/>
    <mergeCell ref="O19:O20"/>
    <mergeCell ref="B8:O8"/>
    <mergeCell ref="N1:O1"/>
    <mergeCell ref="N2:O2"/>
    <mergeCell ref="N3:O3"/>
    <mergeCell ref="N5:O5"/>
  </mergeCells>
  <dataValidations count="3">
    <dataValidation type="list" allowBlank="1" showInputMessage="1" showErrorMessage="1" sqref="D14">
      <formula1>"TOU, non-TOU"</formula1>
    </dataValidation>
    <dataValidation type="list" allowBlank="1" showInputMessage="1" showErrorMessage="1" prompt="Select Charge Unit - monthly, per kWh, per kW" sqref="D47:D48 D39:D45 D65 D50:D59 D71 D21:D37">
      <formula1>"Monthly, per kWh, per kW"</formula1>
    </dataValidation>
    <dataValidation type="list" allowBlank="1" showInputMessage="1" showErrorMessage="1" sqref="E47:E48 E39:E45 E21:E37 E50:E59 E71 E65">
      <formula1>#REF!</formula1>
    </dataValidation>
  </dataValidations>
  <pageMargins left="0.7" right="0.7" top="0.75" bottom="0.75" header="0.3" footer="0.3"/>
  <pageSetup scale="58" fitToHeight="0"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>
    <tabColor theme="0" tint="-0.14999847407452621"/>
    <pageSetUpPr fitToPage="1"/>
  </sheetPr>
  <dimension ref="A1:T88"/>
  <sheetViews>
    <sheetView showGridLines="0" workbookViewId="0">
      <selection activeCell="L1" sqref="L1:O5"/>
    </sheetView>
  </sheetViews>
  <sheetFormatPr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8.5703125" style="7" customWidth="1"/>
    <col min="8" max="8" width="12.28515625" style="7" bestFit="1" customWidth="1"/>
    <col min="9" max="9" width="2.85546875" style="7" customWidth="1"/>
    <col min="10" max="10" width="12.140625" style="7" customWidth="1"/>
    <col min="11" max="11" width="8.5703125" style="7" customWidth="1"/>
    <col min="12" max="12" width="13.42578125" style="7" bestFit="1" customWidth="1"/>
    <col min="13" max="13" width="2.85546875" style="7" customWidth="1"/>
    <col min="14" max="14" width="12.7109375" style="7" bestFit="1" customWidth="1"/>
    <col min="15" max="15" width="12.85546875" style="7" customWidth="1"/>
    <col min="16" max="16" width="3.8554687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248" t="str">
        <f>'Res (100kWh)'!$N$1:$O$1</f>
        <v>EB-2014-0099</v>
      </c>
      <c r="O1" s="248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94</v>
      </c>
      <c r="N2" s="249">
        <f>'Res (100kWh)'!$N$2:$O$2</f>
        <v>8</v>
      </c>
      <c r="O2" s="249"/>
    </row>
    <row r="3" spans="1:20" s="2" customFormat="1" ht="15" customHeight="1" x14ac:dyDescent="0.25">
      <c r="C3" s="6"/>
      <c r="D3" s="6"/>
      <c r="E3" s="6"/>
      <c r="L3" s="3" t="s">
        <v>95</v>
      </c>
      <c r="N3" s="248" t="str">
        <f>'Res (100kWh)'!$N$3:$O$3</f>
        <v>8-B</v>
      </c>
      <c r="O3" s="248"/>
    </row>
    <row r="4" spans="1:20" s="2" customFormat="1" ht="9" customHeight="1" x14ac:dyDescent="0.25">
      <c r="L4" s="3"/>
      <c r="N4" s="232"/>
      <c r="O4"/>
    </row>
    <row r="5" spans="1:20" s="2" customFormat="1" x14ac:dyDescent="0.25">
      <c r="L5" s="3" t="s">
        <v>75</v>
      </c>
      <c r="N5" s="248">
        <f>'Res (100kWh)'!$N$5:$O$5</f>
        <v>42118</v>
      </c>
      <c r="O5" s="248"/>
    </row>
    <row r="6" spans="1:20" s="2" customFormat="1" ht="15" customHeight="1" x14ac:dyDescent="0.25">
      <c r="N6" s="7"/>
      <c r="O6"/>
      <c r="P6"/>
    </row>
    <row r="7" spans="1:20" ht="7.5" customHeight="1" x14ac:dyDescent="0.25">
      <c r="L7"/>
      <c r="M7"/>
      <c r="N7"/>
      <c r="O7"/>
      <c r="P7"/>
    </row>
    <row r="8" spans="1:20" ht="18.75" customHeight="1" x14ac:dyDescent="0.25">
      <c r="B8" s="247" t="s">
        <v>1</v>
      </c>
      <c r="C8" s="247"/>
      <c r="D8" s="247"/>
      <c r="E8" s="247"/>
      <c r="F8" s="247"/>
      <c r="G8" s="247"/>
      <c r="H8" s="247"/>
      <c r="I8" s="247"/>
      <c r="J8" s="247"/>
      <c r="K8" s="247"/>
      <c r="L8" s="247"/>
      <c r="M8" s="247"/>
      <c r="N8" s="247"/>
      <c r="O8" s="247"/>
      <c r="P8"/>
    </row>
    <row r="9" spans="1:20" ht="18.75" customHeight="1" x14ac:dyDescent="0.25">
      <c r="B9" s="247" t="s">
        <v>2</v>
      </c>
      <c r="C9" s="247"/>
      <c r="D9" s="247"/>
      <c r="E9" s="247"/>
      <c r="F9" s="247"/>
      <c r="G9" s="247"/>
      <c r="H9" s="247"/>
      <c r="I9" s="247"/>
      <c r="J9" s="247"/>
      <c r="K9" s="247"/>
      <c r="L9" s="247"/>
      <c r="M9" s="247"/>
      <c r="N9" s="247"/>
      <c r="O9" s="247"/>
      <c r="P9"/>
    </row>
    <row r="10" spans="1:20" ht="7.5" customHeight="1" x14ac:dyDescent="0.25">
      <c r="L10"/>
      <c r="M10"/>
      <c r="N10"/>
      <c r="O10"/>
      <c r="P10"/>
    </row>
    <row r="11" spans="1:20" ht="7.5" customHeight="1" x14ac:dyDescent="0.25">
      <c r="L11"/>
      <c r="M11"/>
      <c r="N11"/>
      <c r="O11"/>
      <c r="P11"/>
    </row>
    <row r="12" spans="1:20" ht="15.75" x14ac:dyDescent="0.25">
      <c r="B12" s="8" t="s">
        <v>3</v>
      </c>
      <c r="D12" s="242" t="s">
        <v>81</v>
      </c>
      <c r="E12" s="242"/>
      <c r="F12" s="242"/>
      <c r="G12" s="242"/>
      <c r="H12" s="242"/>
      <c r="I12" s="242"/>
      <c r="J12" s="242"/>
      <c r="K12" s="242"/>
      <c r="L12" s="242"/>
      <c r="M12" s="242"/>
      <c r="N12" s="242"/>
      <c r="O12" s="242"/>
    </row>
    <row r="13" spans="1:20" ht="7.5" customHeight="1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68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x14ac:dyDescent="0.25">
      <c r="B16" s="12"/>
      <c r="D16" s="13" t="s">
        <v>6</v>
      </c>
      <c r="E16" s="13"/>
      <c r="F16" s="14">
        <v>900000</v>
      </c>
      <c r="G16" s="13" t="s">
        <v>7</v>
      </c>
      <c r="H16" s="14">
        <v>3000</v>
      </c>
      <c r="I16" s="13" t="s">
        <v>69</v>
      </c>
    </row>
    <row r="17" spans="2:15" x14ac:dyDescent="0.25">
      <c r="B17" s="12"/>
    </row>
    <row r="18" spans="2:15" x14ac:dyDescent="0.25">
      <c r="B18" s="12"/>
      <c r="D18" s="15"/>
      <c r="E18" s="15"/>
      <c r="F18" s="243" t="s">
        <v>8</v>
      </c>
      <c r="G18" s="244"/>
      <c r="H18" s="245"/>
      <c r="J18" s="243" t="s">
        <v>9</v>
      </c>
      <c r="K18" s="244"/>
      <c r="L18" s="245"/>
      <c r="N18" s="243" t="s">
        <v>10</v>
      </c>
      <c r="O18" s="245"/>
    </row>
    <row r="19" spans="2:15" x14ac:dyDescent="0.25">
      <c r="B19" s="12"/>
      <c r="D19" s="234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236" t="s">
        <v>15</v>
      </c>
      <c r="O19" s="238" t="s">
        <v>16</v>
      </c>
    </row>
    <row r="20" spans="2:15" x14ac:dyDescent="0.25">
      <c r="B20" s="12"/>
      <c r="D20" s="235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237"/>
      <c r="O20" s="239"/>
    </row>
    <row r="21" spans="2:15" ht="22.5" customHeight="1" x14ac:dyDescent="0.25">
      <c r="B21" s="22" t="s">
        <v>18</v>
      </c>
      <c r="C21" s="22"/>
      <c r="D21" s="23" t="s">
        <v>60</v>
      </c>
      <c r="E21" s="24"/>
      <c r="F21" s="174">
        <f>'[2]2014 Existing Rates'!$C$9</f>
        <v>5844.1</v>
      </c>
      <c r="G21" s="26">
        <v>1</v>
      </c>
      <c r="H21" s="27">
        <f>G21*F21</f>
        <v>5844.1</v>
      </c>
      <c r="I21" s="28"/>
      <c r="J21" s="173">
        <f>'[2]Rate Schedule '!$E$28</f>
        <v>6678.53</v>
      </c>
      <c r="K21" s="30">
        <v>1</v>
      </c>
      <c r="L21" s="27">
        <f>K21*J21</f>
        <v>6678.53</v>
      </c>
      <c r="M21" s="28"/>
      <c r="N21" s="31">
        <f>L21-H21</f>
        <v>834.42999999999938</v>
      </c>
      <c r="O21" s="32">
        <f>IF((H21)=0,"",(N21/H21))</f>
        <v>0.14278160880203955</v>
      </c>
    </row>
    <row r="22" spans="2:15" ht="36.75" customHeight="1" x14ac:dyDescent="0.25">
      <c r="B22" s="65" t="s">
        <v>80</v>
      </c>
      <c r="C22" s="22"/>
      <c r="D22" s="56" t="s">
        <v>60</v>
      </c>
      <c r="E22" s="24"/>
      <c r="F22" s="173"/>
      <c r="G22" s="26">
        <v>1</v>
      </c>
      <c r="H22" s="27">
        <f t="shared" ref="H22:H36" si="0">G22*F22</f>
        <v>0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0</v>
      </c>
      <c r="O22" s="32" t="str">
        <f>IF((H22)=0,"",(N22/H22))</f>
        <v/>
      </c>
    </row>
    <row r="23" spans="2:15" hidden="1" x14ac:dyDescent="0.25">
      <c r="B23" s="175"/>
      <c r="C23" s="22"/>
      <c r="D23" s="56" t="s">
        <v>60</v>
      </c>
      <c r="E23" s="57"/>
      <c r="F23" s="173"/>
      <c r="G23" s="26">
        <v>1</v>
      </c>
      <c r="H23" s="27">
        <f t="shared" si="0"/>
        <v>0</v>
      </c>
      <c r="I23" s="28"/>
      <c r="J23" s="29"/>
      <c r="K23" s="30">
        <v>1</v>
      </c>
      <c r="L23" s="27">
        <f t="shared" ref="L23:L36" si="1">K23*J23</f>
        <v>0</v>
      </c>
      <c r="M23" s="28"/>
      <c r="N23" s="31">
        <f t="shared" ref="N23:N37" si="2">L23-H23</f>
        <v>0</v>
      </c>
      <c r="O23" s="32" t="str">
        <f t="shared" ref="O23:O37" si="3">IF((H23)=0,"",(N23/H23))</f>
        <v/>
      </c>
    </row>
    <row r="24" spans="2:15" hidden="1" x14ac:dyDescent="0.25">
      <c r="B24" s="175"/>
      <c r="C24" s="22"/>
      <c r="D24" s="56" t="s">
        <v>60</v>
      </c>
      <c r="E24" s="24"/>
      <c r="F24" s="25"/>
      <c r="G24" s="26">
        <v>1</v>
      </c>
      <c r="H24" s="27">
        <f t="shared" si="0"/>
        <v>0</v>
      </c>
      <c r="I24" s="28"/>
      <c r="J24" s="173"/>
      <c r="K24" s="30">
        <v>1</v>
      </c>
      <c r="L24" s="27">
        <f t="shared" si="1"/>
        <v>0</v>
      </c>
      <c r="M24" s="28"/>
      <c r="N24" s="31">
        <f t="shared" si="2"/>
        <v>0</v>
      </c>
      <c r="O24" s="32" t="str">
        <f t="shared" si="3"/>
        <v/>
      </c>
    </row>
    <row r="25" spans="2:15" x14ac:dyDescent="0.25">
      <c r="B25" s="46" t="s">
        <v>65</v>
      </c>
      <c r="C25" s="22"/>
      <c r="D25" s="23" t="s">
        <v>70</v>
      </c>
      <c r="E25" s="24"/>
      <c r="F25" s="25">
        <v>-1.8700000000000001E-2</v>
      </c>
      <c r="G25" s="178">
        <f>$H$16</f>
        <v>3000</v>
      </c>
      <c r="H25" s="27">
        <f t="shared" si="0"/>
        <v>-56.1</v>
      </c>
      <c r="I25" s="28"/>
      <c r="J25" s="29"/>
      <c r="K25" s="178">
        <f>$H$16</f>
        <v>3000</v>
      </c>
      <c r="L25" s="27">
        <f t="shared" si="1"/>
        <v>0</v>
      </c>
      <c r="M25" s="28"/>
      <c r="N25" s="31">
        <f t="shared" si="2"/>
        <v>56.1</v>
      </c>
      <c r="O25" s="32">
        <f t="shared" si="3"/>
        <v>-1</v>
      </c>
    </row>
    <row r="26" spans="2:15" x14ac:dyDescent="0.25">
      <c r="B26" s="46" t="s">
        <v>66</v>
      </c>
      <c r="C26" s="22"/>
      <c r="D26" s="23" t="s">
        <v>70</v>
      </c>
      <c r="E26" s="24"/>
      <c r="F26" s="25"/>
      <c r="G26" s="178">
        <f>$H$16</f>
        <v>3000</v>
      </c>
      <c r="H26" s="27">
        <f t="shared" si="0"/>
        <v>0</v>
      </c>
      <c r="I26" s="28"/>
      <c r="J26" s="29">
        <f>'[4]6. Rate Rider Calculations'!$F$78</f>
        <v>-3.6250990479049956</v>
      </c>
      <c r="K26" s="178">
        <f>$H$16</f>
        <v>3000</v>
      </c>
      <c r="L26" s="27">
        <f t="shared" si="1"/>
        <v>-10875.297143714986</v>
      </c>
      <c r="M26" s="28"/>
      <c r="N26" s="31">
        <f t="shared" si="2"/>
        <v>-10875.297143714986</v>
      </c>
      <c r="O26" s="32" t="str">
        <f t="shared" si="3"/>
        <v/>
      </c>
    </row>
    <row r="27" spans="2:15" x14ac:dyDescent="0.25">
      <c r="B27" s="22" t="s">
        <v>19</v>
      </c>
      <c r="C27" s="22"/>
      <c r="D27" s="23" t="s">
        <v>70</v>
      </c>
      <c r="E27" s="24"/>
      <c r="F27" s="25">
        <f>'[2]2014 Existing Rates'!$D$9</f>
        <v>1.115</v>
      </c>
      <c r="G27" s="178">
        <f>$H$16</f>
        <v>3000</v>
      </c>
      <c r="H27" s="27">
        <f t="shared" si="0"/>
        <v>3345</v>
      </c>
      <c r="I27" s="28"/>
      <c r="J27" s="29">
        <f>'[2]Rate Schedule '!$E$29</f>
        <v>1.1884999999999999</v>
      </c>
      <c r="K27" s="178">
        <f>$H$16</f>
        <v>3000</v>
      </c>
      <c r="L27" s="27">
        <f t="shared" si="1"/>
        <v>3565.4999999999995</v>
      </c>
      <c r="M27" s="28"/>
      <c r="N27" s="31">
        <f t="shared" si="2"/>
        <v>220.49999999999955</v>
      </c>
      <c r="O27" s="32">
        <f t="shared" si="3"/>
        <v>6.5919282511210625E-2</v>
      </c>
    </row>
    <row r="28" spans="2:15" hidden="1" x14ac:dyDescent="0.25">
      <c r="B28" s="22" t="s">
        <v>20</v>
      </c>
      <c r="C28" s="22"/>
      <c r="D28" s="23"/>
      <c r="E28" s="24"/>
      <c r="F28" s="25"/>
      <c r="G28" s="26">
        <f>$F$16</f>
        <v>900000</v>
      </c>
      <c r="H28" s="27">
        <f t="shared" si="0"/>
        <v>0</v>
      </c>
      <c r="I28" s="28"/>
      <c r="J28" s="29"/>
      <c r="K28" s="26">
        <f t="shared" ref="K28:K36" si="4">$F$16</f>
        <v>900000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hidden="1" x14ac:dyDescent="0.25">
      <c r="B29" s="22" t="s">
        <v>21</v>
      </c>
      <c r="C29" s="22"/>
      <c r="D29" s="23"/>
      <c r="E29" s="24"/>
      <c r="F29" s="25"/>
      <c r="G29" s="26">
        <f>$F$16</f>
        <v>900000</v>
      </c>
      <c r="H29" s="27">
        <f t="shared" si="0"/>
        <v>0</v>
      </c>
      <c r="I29" s="28"/>
      <c r="J29" s="29"/>
      <c r="K29" s="26">
        <f t="shared" si="4"/>
        <v>900000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idden="1" x14ac:dyDescent="0.25">
      <c r="B30" s="33"/>
      <c r="C30" s="22"/>
      <c r="D30" s="23"/>
      <c r="E30" s="24"/>
      <c r="F30" s="25"/>
      <c r="G30" s="26">
        <f t="shared" ref="G30:G36" si="5">$F$16</f>
        <v>900000</v>
      </c>
      <c r="H30" s="27">
        <f t="shared" si="0"/>
        <v>0</v>
      </c>
      <c r="I30" s="28"/>
      <c r="J30" s="29"/>
      <c r="K30" s="26">
        <f t="shared" si="4"/>
        <v>900000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idden="1" x14ac:dyDescent="0.25">
      <c r="B31" s="33"/>
      <c r="C31" s="22"/>
      <c r="D31" s="23"/>
      <c r="E31" s="24"/>
      <c r="F31" s="25"/>
      <c r="G31" s="26">
        <f t="shared" si="5"/>
        <v>900000</v>
      </c>
      <c r="H31" s="27">
        <f t="shared" si="0"/>
        <v>0</v>
      </c>
      <c r="I31" s="28"/>
      <c r="J31" s="29"/>
      <c r="K31" s="26">
        <f t="shared" si="4"/>
        <v>900000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idden="1" x14ac:dyDescent="0.25">
      <c r="B32" s="33"/>
      <c r="C32" s="22"/>
      <c r="D32" s="23"/>
      <c r="E32" s="24"/>
      <c r="F32" s="25"/>
      <c r="G32" s="26">
        <f t="shared" si="5"/>
        <v>900000</v>
      </c>
      <c r="H32" s="27">
        <f t="shared" si="0"/>
        <v>0</v>
      </c>
      <c r="I32" s="28"/>
      <c r="J32" s="29"/>
      <c r="K32" s="26">
        <f t="shared" si="4"/>
        <v>900000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idden="1" x14ac:dyDescent="0.25">
      <c r="B33" s="33"/>
      <c r="C33" s="22"/>
      <c r="D33" s="23"/>
      <c r="E33" s="24"/>
      <c r="F33" s="25"/>
      <c r="G33" s="26">
        <f t="shared" si="5"/>
        <v>900000</v>
      </c>
      <c r="H33" s="27">
        <f t="shared" si="0"/>
        <v>0</v>
      </c>
      <c r="I33" s="28"/>
      <c r="J33" s="29"/>
      <c r="K33" s="26">
        <f t="shared" si="4"/>
        <v>900000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idden="1" x14ac:dyDescent="0.25">
      <c r="B34" s="33"/>
      <c r="C34" s="22"/>
      <c r="D34" s="23"/>
      <c r="E34" s="24"/>
      <c r="F34" s="25"/>
      <c r="G34" s="26">
        <f t="shared" si="5"/>
        <v>900000</v>
      </c>
      <c r="H34" s="27">
        <f t="shared" si="0"/>
        <v>0</v>
      </c>
      <c r="I34" s="28"/>
      <c r="J34" s="29"/>
      <c r="K34" s="26">
        <f t="shared" si="4"/>
        <v>900000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idden="1" x14ac:dyDescent="0.25">
      <c r="B35" s="33"/>
      <c r="C35" s="22"/>
      <c r="D35" s="23"/>
      <c r="E35" s="24"/>
      <c r="F35" s="25"/>
      <c r="G35" s="26">
        <f t="shared" si="5"/>
        <v>900000</v>
      </c>
      <c r="H35" s="27">
        <f t="shared" si="0"/>
        <v>0</v>
      </c>
      <c r="I35" s="28"/>
      <c r="J35" s="29"/>
      <c r="K35" s="26">
        <f t="shared" si="4"/>
        <v>900000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idden="1" x14ac:dyDescent="0.25">
      <c r="B36" s="33"/>
      <c r="C36" s="22"/>
      <c r="D36" s="23"/>
      <c r="E36" s="24"/>
      <c r="F36" s="25"/>
      <c r="G36" s="26">
        <f t="shared" si="5"/>
        <v>900000</v>
      </c>
      <c r="H36" s="27">
        <f t="shared" si="0"/>
        <v>0</v>
      </c>
      <c r="I36" s="28"/>
      <c r="J36" s="29"/>
      <c r="K36" s="26">
        <f t="shared" si="4"/>
        <v>900000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x14ac:dyDescent="0.25">
      <c r="B37" s="35" t="s">
        <v>22</v>
      </c>
      <c r="C37" s="36"/>
      <c r="D37" s="37"/>
      <c r="E37" s="36"/>
      <c r="F37" s="38"/>
      <c r="G37" s="39"/>
      <c r="H37" s="40">
        <f>SUM(H21:H36)</f>
        <v>9133</v>
      </c>
      <c r="I37" s="41"/>
      <c r="J37" s="42"/>
      <c r="K37" s="43"/>
      <c r="L37" s="40">
        <f>SUM(L21:L36)</f>
        <v>-631.26714371498701</v>
      </c>
      <c r="M37" s="41"/>
      <c r="N37" s="44">
        <f t="shared" si="2"/>
        <v>-9764.2671437149875</v>
      </c>
      <c r="O37" s="45">
        <f t="shared" si="3"/>
        <v>-1.0691193631572307</v>
      </c>
    </row>
    <row r="38" spans="2:15" x14ac:dyDescent="0.25">
      <c r="B38" s="46" t="s">
        <v>23</v>
      </c>
      <c r="C38" s="22"/>
      <c r="D38" s="56" t="s">
        <v>70</v>
      </c>
      <c r="E38" s="57"/>
      <c r="F38" s="29">
        <v>-0.9143</v>
      </c>
      <c r="G38" s="178">
        <f>G27</f>
        <v>3000</v>
      </c>
      <c r="H38" s="27">
        <f t="shared" ref="H38:H44" si="6">G38*F38</f>
        <v>-2742.9</v>
      </c>
      <c r="I38" s="28"/>
      <c r="J38" s="29">
        <f>'[4]6. Rate Rider Calculations'!$F$23</f>
        <v>0.89415342515110929</v>
      </c>
      <c r="K38" s="178">
        <f>H16</f>
        <v>3000</v>
      </c>
      <c r="L38" s="27">
        <f t="shared" ref="L38:L44" si="7">K38*J38</f>
        <v>2682.460275453328</v>
      </c>
      <c r="M38" s="28"/>
      <c r="N38" s="31">
        <f t="shared" ref="N38:N44" si="8">L38-H38</f>
        <v>5425.3602754533276</v>
      </c>
      <c r="O38" s="32">
        <f t="shared" ref="O38:O43" si="9">IF((H38)=0,"",(N38/H38))</f>
        <v>-1.9779650280554624</v>
      </c>
    </row>
    <row r="39" spans="2:15" hidden="1" x14ac:dyDescent="0.25">
      <c r="B39" s="46"/>
      <c r="C39" s="22"/>
      <c r="D39" s="23" t="s">
        <v>70</v>
      </c>
      <c r="E39" s="24"/>
      <c r="F39" s="25"/>
      <c r="G39" s="178">
        <f>H16</f>
        <v>3000</v>
      </c>
      <c r="H39" s="27">
        <f t="shared" si="6"/>
        <v>0</v>
      </c>
      <c r="I39" s="47"/>
      <c r="J39" s="29"/>
      <c r="K39" s="178">
        <f>H16</f>
        <v>3000</v>
      </c>
      <c r="L39" s="27">
        <f t="shared" si="7"/>
        <v>0</v>
      </c>
      <c r="M39" s="48"/>
      <c r="N39" s="31">
        <f t="shared" si="8"/>
        <v>0</v>
      </c>
      <c r="O39" s="32" t="str">
        <f t="shared" si="9"/>
        <v/>
      </c>
    </row>
    <row r="40" spans="2:15" hidden="1" x14ac:dyDescent="0.25">
      <c r="B40" s="46"/>
      <c r="C40" s="22"/>
      <c r="D40" s="23" t="s">
        <v>70</v>
      </c>
      <c r="E40" s="24"/>
      <c r="F40" s="25"/>
      <c r="G40" s="178">
        <f>H16</f>
        <v>3000</v>
      </c>
      <c r="H40" s="27">
        <f t="shared" si="6"/>
        <v>0</v>
      </c>
      <c r="I40" s="47"/>
      <c r="J40" s="29"/>
      <c r="K40" s="178">
        <f>H16</f>
        <v>3000</v>
      </c>
      <c r="L40" s="27">
        <f t="shared" si="7"/>
        <v>0</v>
      </c>
      <c r="M40" s="48"/>
      <c r="N40" s="31">
        <f t="shared" si="8"/>
        <v>0</v>
      </c>
      <c r="O40" s="32" t="str">
        <f t="shared" si="9"/>
        <v/>
      </c>
    </row>
    <row r="41" spans="2:15" ht="30.75" customHeight="1" x14ac:dyDescent="0.25">
      <c r="B41" s="46" t="s">
        <v>74</v>
      </c>
      <c r="C41" s="22"/>
      <c r="D41" s="23" t="s">
        <v>70</v>
      </c>
      <c r="E41" s="24"/>
      <c r="F41" s="29">
        <v>0.41589999999999999</v>
      </c>
      <c r="G41" s="178">
        <f>H16</f>
        <v>3000</v>
      </c>
      <c r="H41" s="27">
        <f t="shared" si="6"/>
        <v>1247.7</v>
      </c>
      <c r="I41" s="47"/>
      <c r="J41" s="29">
        <f>'[4]6. Rate Rider Calculations'!$F$50</f>
        <v>0.90882007219536498</v>
      </c>
      <c r="K41" s="178">
        <f>H16</f>
        <v>3000</v>
      </c>
      <c r="L41" s="27">
        <f t="shared" si="7"/>
        <v>2726.4602165860952</v>
      </c>
      <c r="M41" s="48"/>
      <c r="N41" s="31">
        <f t="shared" si="8"/>
        <v>1478.7602165860951</v>
      </c>
      <c r="O41" s="32">
        <f t="shared" si="9"/>
        <v>1.1851889208833013</v>
      </c>
    </row>
    <row r="42" spans="2:15" x14ac:dyDescent="0.25">
      <c r="B42" s="49" t="s">
        <v>24</v>
      </c>
      <c r="C42" s="22"/>
      <c r="D42" s="23" t="s">
        <v>70</v>
      </c>
      <c r="E42" s="24"/>
      <c r="F42" s="25">
        <v>1.54E-2</v>
      </c>
      <c r="G42" s="178">
        <f>H16</f>
        <v>3000</v>
      </c>
      <c r="H42" s="27">
        <f t="shared" si="6"/>
        <v>46.2</v>
      </c>
      <c r="I42" s="28"/>
      <c r="J42" s="29">
        <f>'[2]Rate Schedule '!$E$30</f>
        <v>2.8500000000000001E-2</v>
      </c>
      <c r="K42" s="178">
        <f>H16</f>
        <v>3000</v>
      </c>
      <c r="L42" s="27">
        <f t="shared" si="7"/>
        <v>85.5</v>
      </c>
      <c r="M42" s="28"/>
      <c r="N42" s="31">
        <f t="shared" si="8"/>
        <v>39.299999999999997</v>
      </c>
      <c r="O42" s="32">
        <f t="shared" si="9"/>
        <v>0.85064935064935054</v>
      </c>
    </row>
    <row r="43" spans="2:15" s="34" customFormat="1" x14ac:dyDescent="0.25">
      <c r="B43" s="180" t="s">
        <v>25</v>
      </c>
      <c r="C43" s="24"/>
      <c r="D43" s="181" t="s">
        <v>61</v>
      </c>
      <c r="E43" s="24"/>
      <c r="F43" s="182">
        <f>IF(ISBLANK(D14)=TRUE, 0, IF(D14="TOU", 0.64*$F$53+0.18*$F$54+0.18*$F$55, IF(AND(D14="non-TOU", G57&gt;0), F57,F56)))</f>
        <v>8.7999999999999995E-2</v>
      </c>
      <c r="G43" s="26">
        <f>$F$16*(1+$F$72)-$F$16</f>
        <v>43200</v>
      </c>
      <c r="H43" s="183">
        <f t="shared" si="6"/>
        <v>3801.6</v>
      </c>
      <c r="I43" s="57"/>
      <c r="J43" s="184">
        <f>IF(ISBLANK(D14)=TRUE, 0, IF(D14="TOU", 0.64*$F$53+0.18*$F$54+0.18*$F$55, IF(AND(D14="non-TOU", K57&gt;0), J57,J56)))</f>
        <v>8.7999999999999995E-2</v>
      </c>
      <c r="K43" s="26">
        <f>$F$16*(1+$J$72)-$F$16</f>
        <v>42389.999999999884</v>
      </c>
      <c r="L43" s="183">
        <f t="shared" si="7"/>
        <v>3730.3199999999897</v>
      </c>
      <c r="M43" s="57"/>
      <c r="N43" s="185">
        <f t="shared" si="8"/>
        <v>-71.280000000010205</v>
      </c>
      <c r="O43" s="186">
        <f t="shared" si="9"/>
        <v>-1.8750000000002685E-2</v>
      </c>
    </row>
    <row r="44" spans="2:15" x14ac:dyDescent="0.25">
      <c r="B44" s="49" t="s">
        <v>26</v>
      </c>
      <c r="C44" s="22"/>
      <c r="D44" s="23" t="s">
        <v>60</v>
      </c>
      <c r="E44" s="24"/>
      <c r="F44" s="177"/>
      <c r="G44" s="26">
        <v>0</v>
      </c>
      <c r="H44" s="27">
        <f t="shared" si="6"/>
        <v>0</v>
      </c>
      <c r="I44" s="28"/>
      <c r="J44" s="177"/>
      <c r="K44" s="26">
        <v>0</v>
      </c>
      <c r="L44" s="27">
        <f t="shared" si="7"/>
        <v>0</v>
      </c>
      <c r="M44" s="28"/>
      <c r="N44" s="31">
        <f t="shared" si="8"/>
        <v>0</v>
      </c>
      <c r="O44" s="32"/>
    </row>
    <row r="45" spans="2:15" ht="25.5" x14ac:dyDescent="0.25">
      <c r="B45" s="50" t="s">
        <v>27</v>
      </c>
      <c r="C45" s="51"/>
      <c r="D45" s="51"/>
      <c r="E45" s="51"/>
      <c r="F45" s="52"/>
      <c r="G45" s="53"/>
      <c r="H45" s="54">
        <f>SUM(H38:H44)+H37</f>
        <v>11485.6</v>
      </c>
      <c r="I45" s="41"/>
      <c r="J45" s="53"/>
      <c r="K45" s="55"/>
      <c r="L45" s="54">
        <f>SUM(L38:L44)+L37</f>
        <v>8593.4733483244254</v>
      </c>
      <c r="M45" s="41"/>
      <c r="N45" s="44">
        <f t="shared" ref="N45:N63" si="10">L45-H45</f>
        <v>-2892.126651675575</v>
      </c>
      <c r="O45" s="45">
        <f t="shared" ref="O45:O63" si="11">IF((H45)=0,"",(N45/H45))</f>
        <v>-0.25180457718147725</v>
      </c>
    </row>
    <row r="46" spans="2:15" x14ac:dyDescent="0.25">
      <c r="B46" s="28" t="s">
        <v>28</v>
      </c>
      <c r="C46" s="28"/>
      <c r="D46" s="56" t="s">
        <v>70</v>
      </c>
      <c r="E46" s="57"/>
      <c r="F46" s="29">
        <v>2.8921000000000001</v>
      </c>
      <c r="G46" s="58">
        <f>H16*(1+F72)</f>
        <v>3144</v>
      </c>
      <c r="H46" s="27">
        <f>G46*F46</f>
        <v>9092.7623999999996</v>
      </c>
      <c r="I46" s="28"/>
      <c r="J46" s="29">
        <f>'[5]13. Final 2015 RTS Rates'!$F$29</f>
        <v>2.9851768689754885</v>
      </c>
      <c r="K46" s="59">
        <f>H16*(1+J72)</f>
        <v>3141.2999999999997</v>
      </c>
      <c r="L46" s="27">
        <f>K46*J46</f>
        <v>9377.3360985127019</v>
      </c>
      <c r="M46" s="28"/>
      <c r="N46" s="31">
        <f t="shared" si="10"/>
        <v>284.57369851270232</v>
      </c>
      <c r="O46" s="32">
        <f t="shared" si="11"/>
        <v>3.1296726560533721E-2</v>
      </c>
    </row>
    <row r="47" spans="2:15" x14ac:dyDescent="0.25">
      <c r="B47" s="60" t="s">
        <v>29</v>
      </c>
      <c r="C47" s="28"/>
      <c r="D47" s="56" t="s">
        <v>70</v>
      </c>
      <c r="E47" s="57"/>
      <c r="F47" s="29">
        <v>2.2395999999999998</v>
      </c>
      <c r="G47" s="58">
        <f>G46</f>
        <v>3144</v>
      </c>
      <c r="H47" s="27">
        <f>G47*F47</f>
        <v>7041.3023999999996</v>
      </c>
      <c r="I47" s="28"/>
      <c r="J47" s="29">
        <f>'[5]13. Final 2015 RTS Rates'!$H$29</f>
        <v>2.2998272904958981</v>
      </c>
      <c r="K47" s="59">
        <f>K46</f>
        <v>3141.2999999999997</v>
      </c>
      <c r="L47" s="27">
        <f>K47*J47</f>
        <v>7224.4474676347636</v>
      </c>
      <c r="M47" s="28"/>
      <c r="N47" s="31">
        <f t="shared" si="10"/>
        <v>183.14506763476402</v>
      </c>
      <c r="O47" s="32">
        <f t="shared" si="11"/>
        <v>2.6010112509123884E-2</v>
      </c>
    </row>
    <row r="48" spans="2:15" x14ac:dyDescent="0.25">
      <c r="B48" s="50" t="s">
        <v>30</v>
      </c>
      <c r="C48" s="36"/>
      <c r="D48" s="36"/>
      <c r="E48" s="36"/>
      <c r="F48" s="61"/>
      <c r="G48" s="53"/>
      <c r="H48" s="54">
        <f>SUM(H45:H47)</f>
        <v>27619.664799999999</v>
      </c>
      <c r="I48" s="62"/>
      <c r="J48" s="63"/>
      <c r="K48" s="64"/>
      <c r="L48" s="54">
        <f>SUM(L45:L47)</f>
        <v>25195.256914471891</v>
      </c>
      <c r="M48" s="62"/>
      <c r="N48" s="44">
        <f t="shared" si="10"/>
        <v>-2424.4078855281077</v>
      </c>
      <c r="O48" s="45">
        <f t="shared" si="11"/>
        <v>-8.777832399791137E-2</v>
      </c>
    </row>
    <row r="49" spans="2:19" x14ac:dyDescent="0.25">
      <c r="B49" s="65" t="s">
        <v>31</v>
      </c>
      <c r="C49" s="22"/>
      <c r="D49" s="23" t="s">
        <v>61</v>
      </c>
      <c r="E49" s="24"/>
      <c r="F49" s="66">
        <v>4.4000000000000003E-3</v>
      </c>
      <c r="G49" s="58">
        <f>F16*(F72)</f>
        <v>43200</v>
      </c>
      <c r="H49" s="67">
        <f t="shared" ref="H49:H55" si="12">G49*F49</f>
        <v>190.08</v>
      </c>
      <c r="I49" s="28"/>
      <c r="J49" s="66">
        <v>4.4000000000000003E-3</v>
      </c>
      <c r="K49" s="59">
        <f>F16*(J72)</f>
        <v>42390</v>
      </c>
      <c r="L49" s="67">
        <f t="shared" ref="L49:L55" si="13">K49*J49</f>
        <v>186.51600000000002</v>
      </c>
      <c r="M49" s="28"/>
      <c r="N49" s="31">
        <f t="shared" si="10"/>
        <v>-3.563999999999993</v>
      </c>
      <c r="O49" s="68">
        <f t="shared" si="11"/>
        <v>-1.8749999999999961E-2</v>
      </c>
    </row>
    <row r="50" spans="2:19" x14ac:dyDescent="0.25">
      <c r="B50" s="65" t="s">
        <v>32</v>
      </c>
      <c r="C50" s="22"/>
      <c r="D50" s="23" t="s">
        <v>61</v>
      </c>
      <c r="E50" s="24"/>
      <c r="F50" s="66">
        <v>1.2999999999999999E-3</v>
      </c>
      <c r="G50" s="58">
        <f>G49</f>
        <v>43200</v>
      </c>
      <c r="H50" s="67">
        <f t="shared" si="12"/>
        <v>56.16</v>
      </c>
      <c r="I50" s="28"/>
      <c r="J50" s="66">
        <v>1.2999999999999999E-3</v>
      </c>
      <c r="K50" s="59">
        <f>K49</f>
        <v>42390</v>
      </c>
      <c r="L50" s="67">
        <f t="shared" si="13"/>
        <v>55.106999999999999</v>
      </c>
      <c r="M50" s="28"/>
      <c r="N50" s="31">
        <f t="shared" si="10"/>
        <v>-1.0529999999999973</v>
      </c>
      <c r="O50" s="68">
        <f t="shared" si="11"/>
        <v>-1.8749999999999954E-2</v>
      </c>
    </row>
    <row r="51" spans="2:19" x14ac:dyDescent="0.25">
      <c r="B51" s="22" t="s">
        <v>33</v>
      </c>
      <c r="C51" s="22"/>
      <c r="D51" s="23" t="s">
        <v>60</v>
      </c>
      <c r="E51" s="24"/>
      <c r="F51" s="176">
        <v>0.25</v>
      </c>
      <c r="G51" s="26">
        <v>1</v>
      </c>
      <c r="H51" s="67">
        <f t="shared" si="12"/>
        <v>0.25</v>
      </c>
      <c r="I51" s="28"/>
      <c r="J51" s="176">
        <v>0.25</v>
      </c>
      <c r="K51" s="30">
        <v>1</v>
      </c>
      <c r="L51" s="67">
        <f t="shared" si="13"/>
        <v>0.25</v>
      </c>
      <c r="M51" s="28"/>
      <c r="N51" s="31">
        <f t="shared" si="10"/>
        <v>0</v>
      </c>
      <c r="O51" s="68">
        <f t="shared" si="11"/>
        <v>0</v>
      </c>
    </row>
    <row r="52" spans="2:19" x14ac:dyDescent="0.25">
      <c r="B52" s="22" t="s">
        <v>34</v>
      </c>
      <c r="C52" s="22"/>
      <c r="D52" s="23" t="s">
        <v>61</v>
      </c>
      <c r="E52" s="24"/>
      <c r="F52" s="66">
        <v>7.0000000000000001E-3</v>
      </c>
      <c r="G52" s="69">
        <f>F16</f>
        <v>900000</v>
      </c>
      <c r="H52" s="67">
        <f t="shared" si="12"/>
        <v>6300</v>
      </c>
      <c r="I52" s="28"/>
      <c r="J52" s="66">
        <v>7.0000000000000001E-3</v>
      </c>
      <c r="K52" s="70">
        <f>F16</f>
        <v>900000</v>
      </c>
      <c r="L52" s="67">
        <f t="shared" si="13"/>
        <v>6300</v>
      </c>
      <c r="M52" s="28"/>
      <c r="N52" s="31">
        <f t="shared" si="10"/>
        <v>0</v>
      </c>
      <c r="O52" s="68">
        <f t="shared" si="11"/>
        <v>0</v>
      </c>
    </row>
    <row r="53" spans="2:19" ht="15.75" thickBot="1" x14ac:dyDescent="0.3">
      <c r="B53" s="49" t="s">
        <v>73</v>
      </c>
      <c r="C53" s="22"/>
      <c r="D53" s="23" t="s">
        <v>61</v>
      </c>
      <c r="E53" s="24"/>
      <c r="F53" s="66">
        <v>8.2699999999999996E-2</v>
      </c>
      <c r="G53" s="69">
        <f>F16</f>
        <v>900000</v>
      </c>
      <c r="H53" s="187">
        <f t="shared" si="12"/>
        <v>74430</v>
      </c>
      <c r="I53" s="57"/>
      <c r="J53" s="66">
        <v>8.2699999999999996E-2</v>
      </c>
      <c r="K53" s="69">
        <f>G53</f>
        <v>900000</v>
      </c>
      <c r="L53" s="67">
        <f t="shared" si="13"/>
        <v>74430</v>
      </c>
      <c r="M53" s="28"/>
      <c r="N53" s="31">
        <f t="shared" si="10"/>
        <v>0</v>
      </c>
      <c r="O53" s="68">
        <f t="shared" si="11"/>
        <v>0</v>
      </c>
      <c r="S53" s="72"/>
    </row>
    <row r="54" spans="2:19" hidden="1" x14ac:dyDescent="0.25">
      <c r="B54" s="49" t="s">
        <v>36</v>
      </c>
      <c r="C54" s="22"/>
      <c r="D54" s="23"/>
      <c r="E54" s="24"/>
      <c r="F54" s="71">
        <v>0.104</v>
      </c>
      <c r="G54" s="58">
        <v>0</v>
      </c>
      <c r="H54" s="67">
        <f t="shared" si="12"/>
        <v>0</v>
      </c>
      <c r="I54" s="28"/>
      <c r="J54" s="66">
        <v>0.104</v>
      </c>
      <c r="K54" s="58">
        <v>0</v>
      </c>
      <c r="L54" s="67">
        <f t="shared" si="13"/>
        <v>0</v>
      </c>
      <c r="M54" s="28"/>
      <c r="N54" s="31">
        <f t="shared" si="10"/>
        <v>0</v>
      </c>
      <c r="O54" s="68" t="str">
        <f t="shared" si="11"/>
        <v/>
      </c>
      <c r="S54" s="72"/>
    </row>
    <row r="55" spans="2:19" hidden="1" x14ac:dyDescent="0.25">
      <c r="B55" s="12" t="s">
        <v>37</v>
      </c>
      <c r="C55" s="22"/>
      <c r="D55" s="23"/>
      <c r="E55" s="24"/>
      <c r="F55" s="71">
        <v>0.124</v>
      </c>
      <c r="G55" s="58">
        <v>0</v>
      </c>
      <c r="H55" s="67">
        <f t="shared" si="12"/>
        <v>0</v>
      </c>
      <c r="I55" s="28"/>
      <c r="J55" s="66">
        <v>0.124</v>
      </c>
      <c r="K55" s="58">
        <v>0</v>
      </c>
      <c r="L55" s="67">
        <f t="shared" si="13"/>
        <v>0</v>
      </c>
      <c r="M55" s="28"/>
      <c r="N55" s="31">
        <f t="shared" si="10"/>
        <v>0</v>
      </c>
      <c r="O55" s="68" t="str">
        <f t="shared" si="11"/>
        <v/>
      </c>
      <c r="S55" s="72"/>
    </row>
    <row r="56" spans="2:19" s="73" customFormat="1" hidden="1" x14ac:dyDescent="0.2">
      <c r="B56" s="179" t="s">
        <v>38</v>
      </c>
      <c r="C56" s="75"/>
      <c r="D56" s="76"/>
      <c r="E56" s="77"/>
      <c r="F56" s="71">
        <v>7.4999999999999997E-2</v>
      </c>
      <c r="G56" s="78">
        <f>IF(AND($T$1=1, F16&gt;=600), 600, IF(AND($T$1=1, AND(F16&lt;600, F16&gt;=0)), F16, IF(AND($T$1=2, F16&gt;=1000), 1000, IF(AND($T$1=2, AND(F16&lt;1000, F16&gt;=0)), F16))))</f>
        <v>600</v>
      </c>
      <c r="H56" s="67">
        <f>G56*F56</f>
        <v>45</v>
      </c>
      <c r="I56" s="79"/>
      <c r="J56" s="66">
        <v>7.4999999999999997E-2</v>
      </c>
      <c r="K56" s="78">
        <f>G56</f>
        <v>600</v>
      </c>
      <c r="L56" s="67">
        <f>K56*J56</f>
        <v>45</v>
      </c>
      <c r="M56" s="79"/>
      <c r="N56" s="80">
        <f t="shared" si="10"/>
        <v>0</v>
      </c>
      <c r="O56" s="68">
        <f t="shared" si="11"/>
        <v>0</v>
      </c>
    </row>
    <row r="57" spans="2:19" s="73" customFormat="1" ht="15.75" hidden="1" thickBot="1" x14ac:dyDescent="0.25">
      <c r="B57" s="179" t="s">
        <v>39</v>
      </c>
      <c r="C57" s="75"/>
      <c r="D57" s="76"/>
      <c r="E57" s="77"/>
      <c r="F57" s="71">
        <v>8.7999999999999995E-2</v>
      </c>
      <c r="G57" s="78">
        <f>IF(AND($T$1=1, F16&gt;=600), F16-600, IF(AND($T$1=1, AND(F16&lt;600, F16&gt;=0)), 0, IF(AND($T$1=2, F16&gt;=1000), F16-1000, IF(AND($T$1=2, AND(F16&lt;1000, F16&gt;=0)), 0))))</f>
        <v>899400</v>
      </c>
      <c r="H57" s="67">
        <f>G57*F57</f>
        <v>79147.199999999997</v>
      </c>
      <c r="I57" s="79"/>
      <c r="J57" s="66">
        <v>8.7999999999999995E-2</v>
      </c>
      <c r="K57" s="78">
        <f>G57</f>
        <v>899400</v>
      </c>
      <c r="L57" s="67">
        <f>K57*J57</f>
        <v>79147.199999999997</v>
      </c>
      <c r="M57" s="79"/>
      <c r="N57" s="80">
        <f t="shared" si="10"/>
        <v>0</v>
      </c>
      <c r="O57" s="68">
        <f t="shared" si="11"/>
        <v>0</v>
      </c>
    </row>
    <row r="58" spans="2:19" ht="8.25" customHeight="1" thickBot="1" x14ac:dyDescent="0.3">
      <c r="B58" s="81"/>
      <c r="C58" s="82"/>
      <c r="D58" s="83"/>
      <c r="E58" s="82"/>
      <c r="F58" s="84"/>
      <c r="G58" s="85"/>
      <c r="H58" s="86"/>
      <c r="I58" s="87"/>
      <c r="J58" s="84"/>
      <c r="K58" s="88"/>
      <c r="L58" s="86"/>
      <c r="M58" s="87"/>
      <c r="N58" s="89"/>
      <c r="O58" s="90"/>
    </row>
    <row r="59" spans="2:19" hidden="1" x14ac:dyDescent="0.25">
      <c r="B59" s="91" t="s">
        <v>40</v>
      </c>
      <c r="C59" s="22"/>
      <c r="D59" s="22"/>
      <c r="E59" s="22"/>
      <c r="F59" s="92"/>
      <c r="G59" s="93"/>
      <c r="H59" s="94">
        <f>SUM(H49:H55,H48)</f>
        <v>108596.1548</v>
      </c>
      <c r="I59" s="95"/>
      <c r="J59" s="96"/>
      <c r="K59" s="96"/>
      <c r="L59" s="94">
        <f>SUM(L49:L55,L48)</f>
        <v>106167.12991447188</v>
      </c>
      <c r="M59" s="97"/>
      <c r="N59" s="98">
        <f>L59-H59</f>
        <v>-2429.0248855281243</v>
      </c>
      <c r="O59" s="99">
        <f>IF((H59)=0,"",(N59/H59))</f>
        <v>-2.2367503619272939E-2</v>
      </c>
      <c r="S59" s="72"/>
    </row>
    <row r="60" spans="2:19" hidden="1" x14ac:dyDescent="0.25">
      <c r="B60" s="100" t="s">
        <v>41</v>
      </c>
      <c r="C60" s="22"/>
      <c r="D60" s="22"/>
      <c r="E60" s="22"/>
      <c r="F60" s="101">
        <v>0.13</v>
      </c>
      <c r="G60" s="102"/>
      <c r="H60" s="103">
        <f>H59*F60</f>
        <v>14117.500124</v>
      </c>
      <c r="I60" s="104"/>
      <c r="J60" s="105">
        <v>0.13</v>
      </c>
      <c r="K60" s="104"/>
      <c r="L60" s="106">
        <f>L59*J60</f>
        <v>13801.726888881345</v>
      </c>
      <c r="M60" s="107"/>
      <c r="N60" s="108">
        <f t="shared" si="10"/>
        <v>-315.77323511865507</v>
      </c>
      <c r="O60" s="109">
        <f t="shared" si="11"/>
        <v>-2.2367503619272863E-2</v>
      </c>
      <c r="S60" s="72"/>
    </row>
    <row r="61" spans="2:19" hidden="1" x14ac:dyDescent="0.25">
      <c r="B61" s="110" t="s">
        <v>42</v>
      </c>
      <c r="C61" s="22"/>
      <c r="D61" s="22"/>
      <c r="E61" s="22"/>
      <c r="F61" s="111"/>
      <c r="G61" s="102"/>
      <c r="H61" s="103">
        <f>H59+H60</f>
        <v>122713.654924</v>
      </c>
      <c r="I61" s="104"/>
      <c r="J61" s="104"/>
      <c r="K61" s="104"/>
      <c r="L61" s="106">
        <f>L59+L60</f>
        <v>119968.85680335322</v>
      </c>
      <c r="M61" s="107"/>
      <c r="N61" s="108">
        <f t="shared" si="10"/>
        <v>-2744.7981206467812</v>
      </c>
      <c r="O61" s="109">
        <f t="shared" si="11"/>
        <v>-2.2367503619272942E-2</v>
      </c>
      <c r="S61" s="72"/>
    </row>
    <row r="62" spans="2:19" ht="15.75" hidden="1" customHeight="1" x14ac:dyDescent="0.25">
      <c r="B62" s="240" t="s">
        <v>43</v>
      </c>
      <c r="C62" s="240"/>
      <c r="D62" s="240"/>
      <c r="E62" s="22"/>
      <c r="F62" s="111"/>
      <c r="G62" s="102"/>
      <c r="H62" s="112">
        <f>ROUND(-H61*10%,2)</f>
        <v>-12271.37</v>
      </c>
      <c r="I62" s="104"/>
      <c r="J62" s="104"/>
      <c r="K62" s="104"/>
      <c r="L62" s="113">
        <f>ROUND(-L61*10%,2)</f>
        <v>-11996.89</v>
      </c>
      <c r="M62" s="107"/>
      <c r="N62" s="114">
        <f t="shared" si="10"/>
        <v>274.48000000000138</v>
      </c>
      <c r="O62" s="115">
        <f t="shared" si="11"/>
        <v>-2.23675107180373E-2</v>
      </c>
    </row>
    <row r="63" spans="2:19" hidden="1" x14ac:dyDescent="0.25">
      <c r="B63" s="246" t="s">
        <v>44</v>
      </c>
      <c r="C63" s="246"/>
      <c r="D63" s="246"/>
      <c r="E63" s="116"/>
      <c r="F63" s="117"/>
      <c r="G63" s="118"/>
      <c r="H63" s="119">
        <f>H61+H62</f>
        <v>110442.28492400001</v>
      </c>
      <c r="I63" s="120"/>
      <c r="J63" s="120"/>
      <c r="K63" s="120"/>
      <c r="L63" s="121">
        <f>L61+L62</f>
        <v>107971.96680335322</v>
      </c>
      <c r="M63" s="122"/>
      <c r="N63" s="123">
        <f t="shared" si="10"/>
        <v>-2470.3181206467852</v>
      </c>
      <c r="O63" s="124">
        <f t="shared" si="11"/>
        <v>-2.2367502830521076E-2</v>
      </c>
    </row>
    <row r="64" spans="2:19" s="73" customFormat="1" ht="8.25" hidden="1" customHeight="1" x14ac:dyDescent="0.2">
      <c r="B64" s="125"/>
      <c r="C64" s="126"/>
      <c r="D64" s="127"/>
      <c r="E64" s="126"/>
      <c r="F64" s="84"/>
      <c r="G64" s="128"/>
      <c r="H64" s="86"/>
      <c r="I64" s="129"/>
      <c r="J64" s="84"/>
      <c r="K64" s="130"/>
      <c r="L64" s="86"/>
      <c r="M64" s="129"/>
      <c r="N64" s="131"/>
      <c r="O64" s="90"/>
    </row>
    <row r="65" spans="1:15" s="73" customFormat="1" ht="12.75" x14ac:dyDescent="0.2">
      <c r="B65" s="132" t="s">
        <v>45</v>
      </c>
      <c r="C65" s="75"/>
      <c r="D65" s="75"/>
      <c r="E65" s="75"/>
      <c r="F65" s="133"/>
      <c r="G65" s="134"/>
      <c r="H65" s="135">
        <f>SUM(H53,H48,H49:H52)</f>
        <v>108596.1548</v>
      </c>
      <c r="I65" s="136"/>
      <c r="J65" s="137"/>
      <c r="K65" s="137"/>
      <c r="L65" s="188">
        <f>SUM(L53,L48,L49:L52)</f>
        <v>106167.12991447189</v>
      </c>
      <c r="M65" s="138"/>
      <c r="N65" s="139">
        <f>L65-H65</f>
        <v>-2429.0248855281097</v>
      </c>
      <c r="O65" s="99">
        <f>IF((H65)=0,"",(N65/H65))</f>
        <v>-2.2367503619272804E-2</v>
      </c>
    </row>
    <row r="66" spans="1:15" s="73" customFormat="1" ht="12.75" x14ac:dyDescent="0.2">
      <c r="B66" s="140" t="s">
        <v>41</v>
      </c>
      <c r="C66" s="75"/>
      <c r="D66" s="75"/>
      <c r="E66" s="75"/>
      <c r="F66" s="141">
        <v>0.13</v>
      </c>
      <c r="G66" s="134"/>
      <c r="H66" s="142">
        <f>H65*F66</f>
        <v>14117.500124</v>
      </c>
      <c r="I66" s="143"/>
      <c r="J66" s="144">
        <v>0.13</v>
      </c>
      <c r="K66" s="145"/>
      <c r="L66" s="146">
        <f>L65*J66</f>
        <v>13801.726888881347</v>
      </c>
      <c r="M66" s="147"/>
      <c r="N66" s="148">
        <f>L66-H66</f>
        <v>-315.77323511865325</v>
      </c>
      <c r="O66" s="109">
        <f>IF((H66)=0,"",(N66/H66))</f>
        <v>-2.2367503619272731E-2</v>
      </c>
    </row>
    <row r="67" spans="1:15" s="73" customFormat="1" ht="12.75" x14ac:dyDescent="0.2">
      <c r="B67" s="149" t="s">
        <v>42</v>
      </c>
      <c r="C67" s="75"/>
      <c r="D67" s="75"/>
      <c r="E67" s="75"/>
      <c r="F67" s="150"/>
      <c r="G67" s="151"/>
      <c r="H67" s="142">
        <f>H65+H66</f>
        <v>122713.654924</v>
      </c>
      <c r="I67" s="143"/>
      <c r="J67" s="143"/>
      <c r="K67" s="143"/>
      <c r="L67" s="146">
        <f>L65+L66</f>
        <v>119968.85680335324</v>
      </c>
      <c r="M67" s="147"/>
      <c r="N67" s="148">
        <f>L67-H67</f>
        <v>-2744.7981206467666</v>
      </c>
      <c r="O67" s="109">
        <f>IF((H67)=0,"",(N67/H67))</f>
        <v>-2.2367503619272824E-2</v>
      </c>
    </row>
    <row r="68" spans="1:15" s="73" customFormat="1" ht="15.75" customHeight="1" x14ac:dyDescent="0.2">
      <c r="B68" s="241" t="s">
        <v>43</v>
      </c>
      <c r="C68" s="241"/>
      <c r="D68" s="241"/>
      <c r="E68" s="75"/>
      <c r="F68" s="150"/>
      <c r="G68" s="151"/>
      <c r="H68" s="152">
        <f>ROUND(-H67*10%,2)</f>
        <v>-12271.37</v>
      </c>
      <c r="I68" s="143"/>
      <c r="J68" s="143"/>
      <c r="K68" s="143"/>
      <c r="L68" s="153">
        <f>ROUND(-L67*10%,2)</f>
        <v>-11996.89</v>
      </c>
      <c r="M68" s="147"/>
      <c r="N68" s="154">
        <f>L68-H68</f>
        <v>274.48000000000138</v>
      </c>
      <c r="O68" s="115">
        <f>IF((H68)=0,"",(N68/H68))</f>
        <v>-2.23675107180373E-2</v>
      </c>
    </row>
    <row r="69" spans="1:15" s="73" customFormat="1" ht="13.5" thickBot="1" x14ac:dyDescent="0.25">
      <c r="B69" s="233" t="s">
        <v>46</v>
      </c>
      <c r="C69" s="233"/>
      <c r="D69" s="233"/>
      <c r="E69" s="155"/>
      <c r="F69" s="156"/>
      <c r="G69" s="157"/>
      <c r="H69" s="158">
        <f>SUM(H67:H68)</f>
        <v>110442.28492400001</v>
      </c>
      <c r="I69" s="159"/>
      <c r="J69" s="159"/>
      <c r="K69" s="159"/>
      <c r="L69" s="160">
        <f>SUM(L67:L68)</f>
        <v>107971.96680335324</v>
      </c>
      <c r="M69" s="161"/>
      <c r="N69" s="162">
        <f>L69-H69</f>
        <v>-2470.3181206467707</v>
      </c>
      <c r="O69" s="163">
        <f>IF((H69)=0,"",(N69/H69))</f>
        <v>-2.2367502830520945E-2</v>
      </c>
    </row>
    <row r="70" spans="1:15" s="73" customFormat="1" ht="8.25" customHeight="1" thickBot="1" x14ac:dyDescent="0.25">
      <c r="B70" s="125"/>
      <c r="C70" s="126"/>
      <c r="D70" s="127"/>
      <c r="E70" s="126"/>
      <c r="F70" s="164"/>
      <c r="G70" s="165"/>
      <c r="H70" s="166"/>
      <c r="I70" s="167"/>
      <c r="J70" s="164"/>
      <c r="K70" s="128"/>
      <c r="L70" s="168"/>
      <c r="M70" s="129"/>
      <c r="N70" s="169"/>
      <c r="O70" s="90"/>
    </row>
    <row r="71" spans="1:15" ht="10.5" customHeight="1" x14ac:dyDescent="0.25">
      <c r="L71" s="72"/>
    </row>
    <row r="72" spans="1:15" x14ac:dyDescent="0.25">
      <c r="B72" s="13" t="s">
        <v>47</v>
      </c>
      <c r="F72" s="170">
        <v>4.8000000000000001E-2</v>
      </c>
      <c r="J72" s="170">
        <f>'Res (100kWh)'!$J$74</f>
        <v>4.7100000000000003E-2</v>
      </c>
    </row>
    <row r="73" spans="1:15" ht="10.5" customHeight="1" x14ac:dyDescent="0.25"/>
    <row r="74" spans="1:15" x14ac:dyDescent="0.25">
      <c r="A74" s="171" t="s">
        <v>48</v>
      </c>
    </row>
    <row r="75" spans="1:15" ht="10.5" customHeight="1" x14ac:dyDescent="0.25"/>
    <row r="76" spans="1:15" x14ac:dyDescent="0.25">
      <c r="A76" s="7" t="s">
        <v>49</v>
      </c>
    </row>
    <row r="77" spans="1:15" x14ac:dyDescent="0.25">
      <c r="A77" s="7" t="s">
        <v>50</v>
      </c>
    </row>
    <row r="79" spans="1:15" x14ac:dyDescent="0.25">
      <c r="A79" s="12" t="s">
        <v>51</v>
      </c>
    </row>
    <row r="80" spans="1:15" x14ac:dyDescent="0.25">
      <c r="A80" s="12" t="s">
        <v>52</v>
      </c>
    </row>
    <row r="82" spans="1:2" x14ac:dyDescent="0.25">
      <c r="A82" s="7" t="s">
        <v>53</v>
      </c>
    </row>
    <row r="83" spans="1:2" x14ac:dyDescent="0.25">
      <c r="A83" s="7" t="s">
        <v>54</v>
      </c>
    </row>
    <row r="84" spans="1:2" x14ac:dyDescent="0.25">
      <c r="A84" s="7" t="s">
        <v>55</v>
      </c>
    </row>
    <row r="85" spans="1:2" x14ac:dyDescent="0.25">
      <c r="A85" s="7" t="s">
        <v>56</v>
      </c>
    </row>
    <row r="86" spans="1:2" x14ac:dyDescent="0.25">
      <c r="A86" s="7" t="s">
        <v>57</v>
      </c>
    </row>
    <row r="88" spans="1:2" x14ac:dyDescent="0.25">
      <c r="A88" s="172"/>
      <c r="B88" s="7" t="s">
        <v>58</v>
      </c>
    </row>
  </sheetData>
  <mergeCells count="17">
    <mergeCell ref="N18:O18"/>
    <mergeCell ref="N3:O3"/>
    <mergeCell ref="N5:O5"/>
    <mergeCell ref="N1:O1"/>
    <mergeCell ref="N2:O2"/>
    <mergeCell ref="B8:O8"/>
    <mergeCell ref="B9:O9"/>
    <mergeCell ref="D12:O12"/>
    <mergeCell ref="F18:H18"/>
    <mergeCell ref="J18:L18"/>
    <mergeCell ref="B69:D69"/>
    <mergeCell ref="D19:D20"/>
    <mergeCell ref="N19:N20"/>
    <mergeCell ref="O19:O20"/>
    <mergeCell ref="B62:D62"/>
    <mergeCell ref="B63:D63"/>
    <mergeCell ref="B68:D68"/>
  </mergeCells>
  <dataValidations count="4">
    <dataValidation type="list" allowBlank="1" showInputMessage="1" showErrorMessage="1" sqref="E46:E47 E38:E44 E58 E49:E55 E21:E36">
      <formula1>#REF!</formula1>
    </dataValidation>
    <dataValidation type="list" allowBlank="1" showInputMessage="1" showErrorMessage="1" prompt="Select Charge Unit - monthly, per kWh, per kW" sqref="D46:D47 D38:D44 D64 D49:D58 D70 D21:D36">
      <formula1>"Monthly, per kWh, per kW"</formula1>
    </dataValidation>
    <dataValidation type="list" allowBlank="1" showInputMessage="1" showErrorMessage="1" sqref="E70 E64 E56:E57">
      <formula1>#REF!</formula1>
    </dataValidation>
    <dataValidation type="list" allowBlank="1" showInputMessage="1" showErrorMessage="1" sqref="D14">
      <formula1>"TOU, non-TOU"</formula1>
    </dataValidation>
  </dataValidations>
  <pageMargins left="0.7" right="0.7" top="0.75" bottom="0.75" header="0.3" footer="0.3"/>
  <pageSetup scale="58" fitToHeight="0" orientation="portrait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2">
    <tabColor theme="0" tint="-0.14999847407452621"/>
    <pageSetUpPr fitToPage="1"/>
  </sheetPr>
  <dimension ref="A1:T88"/>
  <sheetViews>
    <sheetView showGridLines="0" workbookViewId="0">
      <selection activeCell="L1" sqref="L1:O5"/>
    </sheetView>
  </sheetViews>
  <sheetFormatPr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11.5703125" style="7" customWidth="1"/>
    <col min="8" max="8" width="12.28515625" style="7" bestFit="1" customWidth="1"/>
    <col min="9" max="9" width="2.85546875" style="7" customWidth="1"/>
    <col min="10" max="10" width="12.140625" style="7" customWidth="1"/>
    <col min="11" max="11" width="8.5703125" style="7" customWidth="1"/>
    <col min="12" max="12" width="13.42578125" style="7" bestFit="1" customWidth="1"/>
    <col min="13" max="13" width="2.85546875" style="7" customWidth="1"/>
    <col min="14" max="14" width="12.7109375" style="7" bestFit="1" customWidth="1"/>
    <col min="15" max="15" width="12.85546875" style="7" customWidth="1"/>
    <col min="16" max="16" width="3.8554687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248" t="str">
        <f>'Res (100kWh)'!$N$1:$O$1</f>
        <v>EB-2014-0099</v>
      </c>
      <c r="O1" s="248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94</v>
      </c>
      <c r="N2" s="249">
        <f>'Res (100kWh)'!$N$2:$O$2</f>
        <v>8</v>
      </c>
      <c r="O2" s="249"/>
    </row>
    <row r="3" spans="1:20" s="2" customFormat="1" ht="15" customHeight="1" x14ac:dyDescent="0.25">
      <c r="C3" s="6"/>
      <c r="D3" s="6"/>
      <c r="E3" s="6"/>
      <c r="L3" s="3" t="s">
        <v>95</v>
      </c>
      <c r="N3" s="248" t="str">
        <f>'Res (100kWh)'!$N$3:$O$3</f>
        <v>8-B</v>
      </c>
      <c r="O3" s="248"/>
    </row>
    <row r="4" spans="1:20" s="2" customFormat="1" ht="9" customHeight="1" x14ac:dyDescent="0.25">
      <c r="L4" s="3"/>
      <c r="N4" s="232"/>
      <c r="O4"/>
    </row>
    <row r="5" spans="1:20" s="2" customFormat="1" x14ac:dyDescent="0.25">
      <c r="L5" s="3" t="s">
        <v>75</v>
      </c>
      <c r="N5" s="248">
        <f>'Res (100kWh)'!$N$5:$O$5</f>
        <v>42118</v>
      </c>
      <c r="O5" s="248"/>
    </row>
    <row r="6" spans="1:20" s="2" customFormat="1" ht="15" customHeight="1" x14ac:dyDescent="0.25">
      <c r="N6" s="7"/>
      <c r="O6"/>
      <c r="P6"/>
    </row>
    <row r="7" spans="1:20" ht="7.5" customHeight="1" x14ac:dyDescent="0.25">
      <c r="L7"/>
      <c r="M7"/>
      <c r="N7"/>
      <c r="O7"/>
      <c r="P7"/>
    </row>
    <row r="8" spans="1:20" ht="18.75" customHeight="1" x14ac:dyDescent="0.25">
      <c r="B8" s="247" t="s">
        <v>1</v>
      </c>
      <c r="C8" s="247"/>
      <c r="D8" s="247"/>
      <c r="E8" s="247"/>
      <c r="F8" s="247"/>
      <c r="G8" s="247"/>
      <c r="H8" s="247"/>
      <c r="I8" s="247"/>
      <c r="J8" s="247"/>
      <c r="K8" s="247"/>
      <c r="L8" s="247"/>
      <c r="M8" s="247"/>
      <c r="N8" s="247"/>
      <c r="O8" s="247"/>
      <c r="P8"/>
    </row>
    <row r="9" spans="1:20" ht="18.75" customHeight="1" x14ac:dyDescent="0.25">
      <c r="B9" s="247" t="s">
        <v>2</v>
      </c>
      <c r="C9" s="247"/>
      <c r="D9" s="247"/>
      <c r="E9" s="247"/>
      <c r="F9" s="247"/>
      <c r="G9" s="247"/>
      <c r="H9" s="247"/>
      <c r="I9" s="247"/>
      <c r="J9" s="247"/>
      <c r="K9" s="247"/>
      <c r="L9" s="247"/>
      <c r="M9" s="247"/>
      <c r="N9" s="247"/>
      <c r="O9" s="247"/>
      <c r="P9"/>
    </row>
    <row r="10" spans="1:20" ht="7.5" customHeight="1" x14ac:dyDescent="0.25">
      <c r="L10"/>
      <c r="M10"/>
      <c r="N10"/>
      <c r="O10"/>
      <c r="P10"/>
    </row>
    <row r="11" spans="1:20" ht="7.5" customHeight="1" x14ac:dyDescent="0.25">
      <c r="L11"/>
      <c r="M11"/>
      <c r="N11"/>
      <c r="O11"/>
      <c r="P11"/>
    </row>
    <row r="12" spans="1:20" ht="15.75" x14ac:dyDescent="0.25">
      <c r="B12" s="8" t="s">
        <v>3</v>
      </c>
      <c r="D12" s="242" t="s">
        <v>81</v>
      </c>
      <c r="E12" s="242"/>
      <c r="F12" s="242"/>
      <c r="G12" s="242"/>
      <c r="H12" s="242"/>
      <c r="I12" s="242"/>
      <c r="J12" s="242"/>
      <c r="K12" s="242"/>
      <c r="L12" s="242"/>
      <c r="M12" s="242"/>
      <c r="N12" s="242"/>
      <c r="O12" s="242"/>
    </row>
    <row r="13" spans="1:20" ht="7.5" customHeight="1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68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x14ac:dyDescent="0.25">
      <c r="B16" s="12"/>
      <c r="D16" s="13" t="s">
        <v>6</v>
      </c>
      <c r="E16" s="13"/>
      <c r="F16" s="14">
        <v>1720000</v>
      </c>
      <c r="G16" s="13" t="s">
        <v>7</v>
      </c>
      <c r="H16" s="14">
        <v>3290</v>
      </c>
      <c r="I16" s="13" t="s">
        <v>69</v>
      </c>
    </row>
    <row r="17" spans="2:15" x14ac:dyDescent="0.25">
      <c r="B17" s="12"/>
    </row>
    <row r="18" spans="2:15" x14ac:dyDescent="0.25">
      <c r="B18" s="12"/>
      <c r="D18" s="15"/>
      <c r="E18" s="15"/>
      <c r="F18" s="243" t="s">
        <v>8</v>
      </c>
      <c r="G18" s="244"/>
      <c r="H18" s="245"/>
      <c r="J18" s="243" t="s">
        <v>9</v>
      </c>
      <c r="K18" s="244"/>
      <c r="L18" s="245"/>
      <c r="N18" s="243" t="s">
        <v>10</v>
      </c>
      <c r="O18" s="245"/>
    </row>
    <row r="19" spans="2:15" x14ac:dyDescent="0.25">
      <c r="B19" s="12"/>
      <c r="D19" s="234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236" t="s">
        <v>15</v>
      </c>
      <c r="O19" s="238" t="s">
        <v>16</v>
      </c>
    </row>
    <row r="20" spans="2:15" x14ac:dyDescent="0.25">
      <c r="B20" s="12"/>
      <c r="D20" s="235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237"/>
      <c r="O20" s="239"/>
    </row>
    <row r="21" spans="2:15" ht="22.5" customHeight="1" x14ac:dyDescent="0.25">
      <c r="B21" s="22" t="s">
        <v>18</v>
      </c>
      <c r="C21" s="22"/>
      <c r="D21" s="23" t="s">
        <v>60</v>
      </c>
      <c r="E21" s="24"/>
      <c r="F21" s="174">
        <f>'[2]2014 Existing Rates'!$C$9</f>
        <v>5844.1</v>
      </c>
      <c r="G21" s="26">
        <v>1</v>
      </c>
      <c r="H21" s="27">
        <f>G21*F21</f>
        <v>5844.1</v>
      </c>
      <c r="I21" s="28"/>
      <c r="J21" s="173">
        <f>'[2]Rate Schedule '!$E$28</f>
        <v>6678.53</v>
      </c>
      <c r="K21" s="30">
        <v>1</v>
      </c>
      <c r="L21" s="27">
        <f>K21*J21</f>
        <v>6678.53</v>
      </c>
      <c r="M21" s="28"/>
      <c r="N21" s="31">
        <f>L21-H21</f>
        <v>834.42999999999938</v>
      </c>
      <c r="O21" s="32">
        <f>IF((H21)=0,"",(N21/H21))</f>
        <v>0.14278160880203955</v>
      </c>
    </row>
    <row r="22" spans="2:15" ht="36.75" customHeight="1" x14ac:dyDescent="0.25">
      <c r="B22" s="65" t="s">
        <v>80</v>
      </c>
      <c r="C22" s="22"/>
      <c r="D22" s="56" t="s">
        <v>60</v>
      </c>
      <c r="E22" s="24"/>
      <c r="F22" s="173"/>
      <c r="G22" s="26">
        <v>1</v>
      </c>
      <c r="H22" s="27">
        <f t="shared" ref="H22:H36" si="0">G22*F22</f>
        <v>0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0</v>
      </c>
      <c r="O22" s="32" t="str">
        <f>IF((H22)=0,"",(N22/H22))</f>
        <v/>
      </c>
    </row>
    <row r="23" spans="2:15" hidden="1" x14ac:dyDescent="0.25">
      <c r="B23" s="175"/>
      <c r="C23" s="22"/>
      <c r="D23" s="56" t="s">
        <v>60</v>
      </c>
      <c r="E23" s="57"/>
      <c r="F23" s="173"/>
      <c r="G23" s="26">
        <v>1</v>
      </c>
      <c r="H23" s="27">
        <f t="shared" si="0"/>
        <v>0</v>
      </c>
      <c r="I23" s="28"/>
      <c r="J23" s="29"/>
      <c r="K23" s="30">
        <v>1</v>
      </c>
      <c r="L23" s="27">
        <f t="shared" ref="L23:L36" si="1">K23*J23</f>
        <v>0</v>
      </c>
      <c r="M23" s="28"/>
      <c r="N23" s="31">
        <f t="shared" ref="N23:N63" si="2">L23-H23</f>
        <v>0</v>
      </c>
      <c r="O23" s="32" t="str">
        <f t="shared" ref="O23:O43" si="3">IF((H23)=0,"",(N23/H23))</f>
        <v/>
      </c>
    </row>
    <row r="24" spans="2:15" hidden="1" x14ac:dyDescent="0.25">
      <c r="B24" s="175"/>
      <c r="C24" s="22"/>
      <c r="D24" s="56" t="s">
        <v>60</v>
      </c>
      <c r="E24" s="24"/>
      <c r="F24" s="25"/>
      <c r="G24" s="26">
        <v>1</v>
      </c>
      <c r="H24" s="27">
        <f t="shared" si="0"/>
        <v>0</v>
      </c>
      <c r="I24" s="28"/>
      <c r="J24" s="173"/>
      <c r="K24" s="30">
        <v>1</v>
      </c>
      <c r="L24" s="27">
        <f t="shared" si="1"/>
        <v>0</v>
      </c>
      <c r="M24" s="28"/>
      <c r="N24" s="31">
        <f t="shared" si="2"/>
        <v>0</v>
      </c>
      <c r="O24" s="32" t="str">
        <f t="shared" si="3"/>
        <v/>
      </c>
    </row>
    <row r="25" spans="2:15" x14ac:dyDescent="0.25">
      <c r="B25" s="46" t="s">
        <v>65</v>
      </c>
      <c r="C25" s="22"/>
      <c r="D25" s="23" t="s">
        <v>70</v>
      </c>
      <c r="E25" s="24"/>
      <c r="F25" s="25">
        <v>-1.8700000000000001E-2</v>
      </c>
      <c r="G25" s="178">
        <f>$H$16</f>
        <v>3290</v>
      </c>
      <c r="H25" s="27">
        <f t="shared" si="0"/>
        <v>-61.523000000000003</v>
      </c>
      <c r="I25" s="28"/>
      <c r="J25" s="29"/>
      <c r="K25" s="178">
        <f>$H$16</f>
        <v>3290</v>
      </c>
      <c r="L25" s="27">
        <f t="shared" si="1"/>
        <v>0</v>
      </c>
      <c r="M25" s="28"/>
      <c r="N25" s="31">
        <f t="shared" si="2"/>
        <v>61.523000000000003</v>
      </c>
      <c r="O25" s="32">
        <f t="shared" si="3"/>
        <v>-1</v>
      </c>
    </row>
    <row r="26" spans="2:15" x14ac:dyDescent="0.25">
      <c r="B26" s="46" t="s">
        <v>66</v>
      </c>
      <c r="C26" s="22"/>
      <c r="D26" s="23" t="s">
        <v>70</v>
      </c>
      <c r="E26" s="24"/>
      <c r="F26" s="25"/>
      <c r="G26" s="178">
        <f>$H$16</f>
        <v>3290</v>
      </c>
      <c r="H26" s="27">
        <f t="shared" si="0"/>
        <v>0</v>
      </c>
      <c r="I26" s="28"/>
      <c r="J26" s="29">
        <f>'[4]6. Rate Rider Calculations'!$F$78</f>
        <v>-3.6250990479049956</v>
      </c>
      <c r="K26" s="178">
        <f>$H$16</f>
        <v>3290</v>
      </c>
      <c r="L26" s="27">
        <f t="shared" si="1"/>
        <v>-11926.575867607435</v>
      </c>
      <c r="M26" s="28"/>
      <c r="N26" s="31">
        <f t="shared" si="2"/>
        <v>-11926.575867607435</v>
      </c>
      <c r="O26" s="32" t="str">
        <f t="shared" si="3"/>
        <v/>
      </c>
    </row>
    <row r="27" spans="2:15" x14ac:dyDescent="0.25">
      <c r="B27" s="22" t="s">
        <v>19</v>
      </c>
      <c r="C27" s="22"/>
      <c r="D27" s="23" t="s">
        <v>70</v>
      </c>
      <c r="E27" s="24"/>
      <c r="F27" s="25">
        <f>'[2]2014 Existing Rates'!$D$9</f>
        <v>1.115</v>
      </c>
      <c r="G27" s="178">
        <f>$H$16</f>
        <v>3290</v>
      </c>
      <c r="H27" s="27">
        <f t="shared" si="0"/>
        <v>3668.35</v>
      </c>
      <c r="I27" s="28"/>
      <c r="J27" s="29">
        <f>'[2]Rate Schedule '!$E$29</f>
        <v>1.1884999999999999</v>
      </c>
      <c r="K27" s="178">
        <f>$H$16</f>
        <v>3290</v>
      </c>
      <c r="L27" s="27">
        <f t="shared" si="1"/>
        <v>3910.1649999999995</v>
      </c>
      <c r="M27" s="28"/>
      <c r="N27" s="31">
        <f t="shared" si="2"/>
        <v>241.8149999999996</v>
      </c>
      <c r="O27" s="32">
        <f t="shared" si="3"/>
        <v>6.5919282511210653E-2</v>
      </c>
    </row>
    <row r="28" spans="2:15" hidden="1" x14ac:dyDescent="0.25">
      <c r="B28" s="22" t="s">
        <v>20</v>
      </c>
      <c r="C28" s="22"/>
      <c r="D28" s="23"/>
      <c r="E28" s="24"/>
      <c r="F28" s="25"/>
      <c r="G28" s="26">
        <f>$F$16</f>
        <v>1720000</v>
      </c>
      <c r="H28" s="27">
        <f t="shared" si="0"/>
        <v>0</v>
      </c>
      <c r="I28" s="28"/>
      <c r="J28" s="29"/>
      <c r="K28" s="26">
        <f t="shared" ref="K28:K36" si="4">$F$16</f>
        <v>1720000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hidden="1" x14ac:dyDescent="0.25">
      <c r="B29" s="22" t="s">
        <v>21</v>
      </c>
      <c r="C29" s="22"/>
      <c r="D29" s="23"/>
      <c r="E29" s="24"/>
      <c r="F29" s="25"/>
      <c r="G29" s="26">
        <f>$F$16</f>
        <v>1720000</v>
      </c>
      <c r="H29" s="27">
        <f t="shared" si="0"/>
        <v>0</v>
      </c>
      <c r="I29" s="28"/>
      <c r="J29" s="29"/>
      <c r="K29" s="26">
        <f t="shared" si="4"/>
        <v>1720000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idden="1" x14ac:dyDescent="0.25">
      <c r="B30" s="33"/>
      <c r="C30" s="22"/>
      <c r="D30" s="23"/>
      <c r="E30" s="24"/>
      <c r="F30" s="25"/>
      <c r="G30" s="26">
        <f t="shared" ref="G30:G36" si="5">$F$16</f>
        <v>1720000</v>
      </c>
      <c r="H30" s="27">
        <f t="shared" si="0"/>
        <v>0</v>
      </c>
      <c r="I30" s="28"/>
      <c r="J30" s="29"/>
      <c r="K30" s="26">
        <f t="shared" si="4"/>
        <v>1720000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idden="1" x14ac:dyDescent="0.25">
      <c r="B31" s="33"/>
      <c r="C31" s="22"/>
      <c r="D31" s="23"/>
      <c r="E31" s="24"/>
      <c r="F31" s="25"/>
      <c r="G31" s="26">
        <f t="shared" si="5"/>
        <v>1720000</v>
      </c>
      <c r="H31" s="27">
        <f t="shared" si="0"/>
        <v>0</v>
      </c>
      <c r="I31" s="28"/>
      <c r="J31" s="29"/>
      <c r="K31" s="26">
        <f t="shared" si="4"/>
        <v>1720000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idden="1" x14ac:dyDescent="0.25">
      <c r="B32" s="33"/>
      <c r="C32" s="22"/>
      <c r="D32" s="23"/>
      <c r="E32" s="24"/>
      <c r="F32" s="25"/>
      <c r="G32" s="26">
        <f t="shared" si="5"/>
        <v>1720000</v>
      </c>
      <c r="H32" s="27">
        <f t="shared" si="0"/>
        <v>0</v>
      </c>
      <c r="I32" s="28"/>
      <c r="J32" s="29"/>
      <c r="K32" s="26">
        <f t="shared" si="4"/>
        <v>1720000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idden="1" x14ac:dyDescent="0.25">
      <c r="B33" s="33"/>
      <c r="C33" s="22"/>
      <c r="D33" s="23"/>
      <c r="E33" s="24"/>
      <c r="F33" s="25"/>
      <c r="G33" s="26">
        <f t="shared" si="5"/>
        <v>1720000</v>
      </c>
      <c r="H33" s="27">
        <f t="shared" si="0"/>
        <v>0</v>
      </c>
      <c r="I33" s="28"/>
      <c r="J33" s="29"/>
      <c r="K33" s="26">
        <f t="shared" si="4"/>
        <v>1720000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idden="1" x14ac:dyDescent="0.25">
      <c r="B34" s="33"/>
      <c r="C34" s="22"/>
      <c r="D34" s="23"/>
      <c r="E34" s="24"/>
      <c r="F34" s="25"/>
      <c r="G34" s="26">
        <f t="shared" si="5"/>
        <v>1720000</v>
      </c>
      <c r="H34" s="27">
        <f t="shared" si="0"/>
        <v>0</v>
      </c>
      <c r="I34" s="28"/>
      <c r="J34" s="29"/>
      <c r="K34" s="26">
        <f t="shared" si="4"/>
        <v>1720000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idden="1" x14ac:dyDescent="0.25">
      <c r="B35" s="33"/>
      <c r="C35" s="22"/>
      <c r="D35" s="23"/>
      <c r="E35" s="24"/>
      <c r="F35" s="25"/>
      <c r="G35" s="26">
        <f t="shared" si="5"/>
        <v>1720000</v>
      </c>
      <c r="H35" s="27">
        <f t="shared" si="0"/>
        <v>0</v>
      </c>
      <c r="I35" s="28"/>
      <c r="J35" s="29"/>
      <c r="K35" s="26">
        <f t="shared" si="4"/>
        <v>1720000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idden="1" x14ac:dyDescent="0.25">
      <c r="B36" s="33"/>
      <c r="C36" s="22"/>
      <c r="D36" s="23"/>
      <c r="E36" s="24"/>
      <c r="F36" s="25"/>
      <c r="G36" s="26">
        <f t="shared" si="5"/>
        <v>1720000</v>
      </c>
      <c r="H36" s="27">
        <f t="shared" si="0"/>
        <v>0</v>
      </c>
      <c r="I36" s="28"/>
      <c r="J36" s="29"/>
      <c r="K36" s="26">
        <f t="shared" si="4"/>
        <v>1720000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x14ac:dyDescent="0.25">
      <c r="B37" s="35" t="s">
        <v>22</v>
      </c>
      <c r="C37" s="36"/>
      <c r="D37" s="37"/>
      <c r="E37" s="36"/>
      <c r="F37" s="38"/>
      <c r="G37" s="39"/>
      <c r="H37" s="40">
        <f>SUM(H21:H36)</f>
        <v>9450.9269999999997</v>
      </c>
      <c r="I37" s="41"/>
      <c r="J37" s="42"/>
      <c r="K37" s="43"/>
      <c r="L37" s="40">
        <f>SUM(L21:L36)</f>
        <v>-1337.8808676074354</v>
      </c>
      <c r="M37" s="41"/>
      <c r="N37" s="44">
        <f t="shared" si="2"/>
        <v>-10788.807867607435</v>
      </c>
      <c r="O37" s="45">
        <f t="shared" si="3"/>
        <v>-1.1415608085436948</v>
      </c>
    </row>
    <row r="38" spans="2:15" x14ac:dyDescent="0.25">
      <c r="B38" s="46" t="s">
        <v>23</v>
      </c>
      <c r="C38" s="22"/>
      <c r="D38" s="56" t="s">
        <v>70</v>
      </c>
      <c r="E38" s="57"/>
      <c r="F38" s="29">
        <v>-0.9143</v>
      </c>
      <c r="G38" s="178">
        <f>G27</f>
        <v>3290</v>
      </c>
      <c r="H38" s="27">
        <f t="shared" ref="H38:H44" si="6">G38*F38</f>
        <v>-3008.047</v>
      </c>
      <c r="I38" s="28"/>
      <c r="J38" s="29">
        <f>'[4]6. Rate Rider Calculations'!$F$23</f>
        <v>0.89415342515110929</v>
      </c>
      <c r="K38" s="178">
        <f>H16</f>
        <v>3290</v>
      </c>
      <c r="L38" s="27">
        <f t="shared" ref="L38:L44" si="7">K38*J38</f>
        <v>2941.7647687471494</v>
      </c>
      <c r="M38" s="28"/>
      <c r="N38" s="31">
        <f t="shared" si="2"/>
        <v>5949.8117687471495</v>
      </c>
      <c r="O38" s="32">
        <f t="shared" si="3"/>
        <v>-1.9779650280554624</v>
      </c>
    </row>
    <row r="39" spans="2:15" hidden="1" x14ac:dyDescent="0.25">
      <c r="B39" s="46"/>
      <c r="C39" s="22"/>
      <c r="D39" s="23" t="s">
        <v>70</v>
      </c>
      <c r="E39" s="24"/>
      <c r="F39" s="25"/>
      <c r="G39" s="178">
        <f>H16</f>
        <v>3290</v>
      </c>
      <c r="H39" s="27">
        <f t="shared" si="6"/>
        <v>0</v>
      </c>
      <c r="I39" s="47"/>
      <c r="J39" s="29"/>
      <c r="K39" s="178">
        <f>H16</f>
        <v>3290</v>
      </c>
      <c r="L39" s="27">
        <f t="shared" si="7"/>
        <v>0</v>
      </c>
      <c r="M39" s="48"/>
      <c r="N39" s="31">
        <f t="shared" si="2"/>
        <v>0</v>
      </c>
      <c r="O39" s="32" t="str">
        <f t="shared" si="3"/>
        <v/>
      </c>
    </row>
    <row r="40" spans="2:15" hidden="1" x14ac:dyDescent="0.25">
      <c r="B40" s="46"/>
      <c r="C40" s="22"/>
      <c r="D40" s="23" t="s">
        <v>70</v>
      </c>
      <c r="E40" s="24"/>
      <c r="F40" s="25"/>
      <c r="G40" s="178">
        <f>H16</f>
        <v>3290</v>
      </c>
      <c r="H40" s="27">
        <f t="shared" si="6"/>
        <v>0</v>
      </c>
      <c r="I40" s="47"/>
      <c r="J40" s="29"/>
      <c r="K40" s="178">
        <f>H16</f>
        <v>3290</v>
      </c>
      <c r="L40" s="27">
        <f t="shared" si="7"/>
        <v>0</v>
      </c>
      <c r="M40" s="48"/>
      <c r="N40" s="31">
        <f t="shared" si="2"/>
        <v>0</v>
      </c>
      <c r="O40" s="32" t="str">
        <f t="shared" si="3"/>
        <v/>
      </c>
    </row>
    <row r="41" spans="2:15" ht="30.75" customHeight="1" x14ac:dyDescent="0.25">
      <c r="B41" s="46" t="s">
        <v>74</v>
      </c>
      <c r="C41" s="22"/>
      <c r="D41" s="23" t="s">
        <v>70</v>
      </c>
      <c r="E41" s="24"/>
      <c r="F41" s="29">
        <v>0.41589999999999999</v>
      </c>
      <c r="G41" s="178">
        <f>H16</f>
        <v>3290</v>
      </c>
      <c r="H41" s="27">
        <f t="shared" si="6"/>
        <v>1368.3109999999999</v>
      </c>
      <c r="I41" s="47"/>
      <c r="J41" s="29">
        <f>'[4]6. Rate Rider Calculations'!$F$50</f>
        <v>0.90882007219536498</v>
      </c>
      <c r="K41" s="178">
        <f>H16</f>
        <v>3290</v>
      </c>
      <c r="L41" s="27">
        <f t="shared" si="7"/>
        <v>2990.018037522751</v>
      </c>
      <c r="M41" s="48"/>
      <c r="N41" s="31">
        <f t="shared" si="2"/>
        <v>1621.7070375227511</v>
      </c>
      <c r="O41" s="32">
        <f t="shared" si="3"/>
        <v>1.1851889208833015</v>
      </c>
    </row>
    <row r="42" spans="2:15" x14ac:dyDescent="0.25">
      <c r="B42" s="49" t="s">
        <v>24</v>
      </c>
      <c r="C42" s="22"/>
      <c r="D42" s="23" t="s">
        <v>70</v>
      </c>
      <c r="E42" s="24"/>
      <c r="F42" s="25">
        <v>1.54E-2</v>
      </c>
      <c r="G42" s="178">
        <f>H16</f>
        <v>3290</v>
      </c>
      <c r="H42" s="27">
        <f t="shared" si="6"/>
        <v>50.666000000000004</v>
      </c>
      <c r="I42" s="28"/>
      <c r="J42" s="29">
        <f>'[2]Rate Schedule '!$E$30</f>
        <v>2.8500000000000001E-2</v>
      </c>
      <c r="K42" s="178">
        <f>H16</f>
        <v>3290</v>
      </c>
      <c r="L42" s="27">
        <f t="shared" si="7"/>
        <v>93.765000000000001</v>
      </c>
      <c r="M42" s="28"/>
      <c r="N42" s="31">
        <f t="shared" si="2"/>
        <v>43.098999999999997</v>
      </c>
      <c r="O42" s="32">
        <f t="shared" si="3"/>
        <v>0.85064935064935054</v>
      </c>
    </row>
    <row r="43" spans="2:15" s="34" customFormat="1" x14ac:dyDescent="0.25">
      <c r="B43" s="180" t="s">
        <v>25</v>
      </c>
      <c r="C43" s="24"/>
      <c r="D43" s="181" t="s">
        <v>61</v>
      </c>
      <c r="E43" s="24"/>
      <c r="F43" s="182">
        <f>IF(ISBLANK(D14)=TRUE, 0, IF(D14="TOU", 0.64*$F$53+0.18*$F$54+0.18*$F$55, IF(AND(D14="non-TOU", G57&gt;0), F57,F56)))</f>
        <v>8.7999999999999995E-2</v>
      </c>
      <c r="G43" s="200">
        <f>$F$16*(1+$F$72)-$F$16</f>
        <v>64500.000000000233</v>
      </c>
      <c r="H43" s="183">
        <f t="shared" si="6"/>
        <v>5676.00000000002</v>
      </c>
      <c r="I43" s="57"/>
      <c r="J43" s="184">
        <f>IF(ISBLANK(D14)=TRUE, 0, IF(D14="TOU", 0.64*$F$53+0.18*$F$54+0.18*$F$55, IF(AND(D14="non-TOU", K57&gt;0), J57,J56)))</f>
        <v>8.7999999999999995E-2</v>
      </c>
      <c r="K43" s="26">
        <f>$F$16*(1+$J$72)-$F$16</f>
        <v>62952</v>
      </c>
      <c r="L43" s="183">
        <f t="shared" si="7"/>
        <v>5539.7759999999998</v>
      </c>
      <c r="M43" s="57"/>
      <c r="N43" s="185">
        <f t="shared" si="2"/>
        <v>-136.22400000002017</v>
      </c>
      <c r="O43" s="186">
        <f t="shared" si="3"/>
        <v>-2.400000000000347E-2</v>
      </c>
    </row>
    <row r="44" spans="2:15" x14ac:dyDescent="0.25">
      <c r="B44" s="49" t="s">
        <v>26</v>
      </c>
      <c r="C44" s="22"/>
      <c r="D44" s="23" t="s">
        <v>60</v>
      </c>
      <c r="E44" s="24"/>
      <c r="F44" s="177"/>
      <c r="G44" s="26">
        <v>0</v>
      </c>
      <c r="H44" s="27">
        <f t="shared" si="6"/>
        <v>0</v>
      </c>
      <c r="I44" s="28"/>
      <c r="J44" s="177"/>
      <c r="K44" s="26">
        <v>0</v>
      </c>
      <c r="L44" s="27">
        <f t="shared" si="7"/>
        <v>0</v>
      </c>
      <c r="M44" s="28"/>
      <c r="N44" s="31">
        <f t="shared" si="2"/>
        <v>0</v>
      </c>
      <c r="O44" s="32"/>
    </row>
    <row r="45" spans="2:15" ht="25.5" x14ac:dyDescent="0.25">
      <c r="B45" s="50" t="s">
        <v>27</v>
      </c>
      <c r="C45" s="51"/>
      <c r="D45" s="51"/>
      <c r="E45" s="51"/>
      <c r="F45" s="52"/>
      <c r="G45" s="53"/>
      <c r="H45" s="54">
        <f>SUM(H38:H44)+H37</f>
        <v>13537.85700000002</v>
      </c>
      <c r="I45" s="41"/>
      <c r="J45" s="53"/>
      <c r="K45" s="55"/>
      <c r="L45" s="54">
        <f>SUM(L38:L44)+L37</f>
        <v>10227.442938662467</v>
      </c>
      <c r="M45" s="41"/>
      <c r="N45" s="44">
        <f t="shared" si="2"/>
        <v>-3310.414061337553</v>
      </c>
      <c r="O45" s="45">
        <f t="shared" ref="O45:O63" si="8">IF((H45)=0,"",(N45/H45))</f>
        <v>-0.24453013954406139</v>
      </c>
    </row>
    <row r="46" spans="2:15" x14ac:dyDescent="0.25">
      <c r="B46" s="28" t="s">
        <v>28</v>
      </c>
      <c r="C46" s="28"/>
      <c r="D46" s="56" t="s">
        <v>70</v>
      </c>
      <c r="E46" s="57"/>
      <c r="F46" s="29">
        <v>2.8921000000000001</v>
      </c>
      <c r="G46" s="58">
        <f>H16</f>
        <v>3290</v>
      </c>
      <c r="H46" s="27">
        <f>G46*F46</f>
        <v>9515.009</v>
      </c>
      <c r="I46" s="28"/>
      <c r="J46" s="29">
        <f>'[5]13. Final 2015 RTS Rates'!$F$29</f>
        <v>2.9851768689754885</v>
      </c>
      <c r="K46" s="59">
        <f>H16</f>
        <v>3290</v>
      </c>
      <c r="L46" s="27">
        <f>K46*J46</f>
        <v>9821.2318989293581</v>
      </c>
      <c r="M46" s="28"/>
      <c r="N46" s="31">
        <f t="shared" si="2"/>
        <v>306.22289892935805</v>
      </c>
      <c r="O46" s="32">
        <f t="shared" si="8"/>
        <v>3.218314338214058E-2</v>
      </c>
    </row>
    <row r="47" spans="2:15" x14ac:dyDescent="0.25">
      <c r="B47" s="60" t="s">
        <v>29</v>
      </c>
      <c r="C47" s="28"/>
      <c r="D47" s="56" t="s">
        <v>70</v>
      </c>
      <c r="E47" s="57"/>
      <c r="F47" s="29">
        <v>2.2395999999999998</v>
      </c>
      <c r="G47" s="58">
        <f>G46</f>
        <v>3290</v>
      </c>
      <c r="H47" s="27">
        <f>G47*F47</f>
        <v>7368.2839999999997</v>
      </c>
      <c r="I47" s="28"/>
      <c r="J47" s="29">
        <f>'[5]13. Final 2015 RTS Rates'!$H$29</f>
        <v>2.2998272904958981</v>
      </c>
      <c r="K47" s="59">
        <f>K46</f>
        <v>3290</v>
      </c>
      <c r="L47" s="27">
        <f>K47*J47</f>
        <v>7566.4317857315045</v>
      </c>
      <c r="M47" s="28"/>
      <c r="N47" s="31">
        <f t="shared" si="2"/>
        <v>198.14778573150488</v>
      </c>
      <c r="O47" s="32">
        <f t="shared" si="8"/>
        <v>2.6891985397346913E-2</v>
      </c>
    </row>
    <row r="48" spans="2:15" x14ac:dyDescent="0.25">
      <c r="B48" s="50" t="s">
        <v>30</v>
      </c>
      <c r="C48" s="36"/>
      <c r="D48" s="36"/>
      <c r="E48" s="36"/>
      <c r="F48" s="61"/>
      <c r="G48" s="53"/>
      <c r="H48" s="54">
        <f>SUM(H45:H47)</f>
        <v>30421.15000000002</v>
      </c>
      <c r="I48" s="62"/>
      <c r="J48" s="63"/>
      <c r="K48" s="64"/>
      <c r="L48" s="54">
        <f>SUM(L45:L47)</f>
        <v>27615.106623323329</v>
      </c>
      <c r="M48" s="62"/>
      <c r="N48" s="44">
        <f t="shared" si="2"/>
        <v>-2806.043376676691</v>
      </c>
      <c r="O48" s="45">
        <f t="shared" si="8"/>
        <v>-9.223988497070916E-2</v>
      </c>
    </row>
    <row r="49" spans="2:19" x14ac:dyDescent="0.25">
      <c r="B49" s="65" t="s">
        <v>31</v>
      </c>
      <c r="C49" s="22"/>
      <c r="D49" s="23" t="s">
        <v>61</v>
      </c>
      <c r="E49" s="24"/>
      <c r="F49" s="66">
        <v>4.4000000000000003E-3</v>
      </c>
      <c r="G49" s="58">
        <f>F16*(F72)</f>
        <v>64500</v>
      </c>
      <c r="H49" s="67">
        <f t="shared" ref="H49:H55" si="9">G49*F49</f>
        <v>283.8</v>
      </c>
      <c r="I49" s="28"/>
      <c r="J49" s="66">
        <v>4.4000000000000003E-3</v>
      </c>
      <c r="K49" s="59">
        <f>F16*(J72)</f>
        <v>62952</v>
      </c>
      <c r="L49" s="67">
        <f t="shared" ref="L49:L55" si="10">K49*J49</f>
        <v>276.98880000000003</v>
      </c>
      <c r="M49" s="28"/>
      <c r="N49" s="31">
        <f t="shared" si="2"/>
        <v>-6.8111999999999853</v>
      </c>
      <c r="O49" s="68">
        <f t="shared" si="8"/>
        <v>-2.3999999999999948E-2</v>
      </c>
    </row>
    <row r="50" spans="2:19" x14ac:dyDescent="0.25">
      <c r="B50" s="65" t="s">
        <v>32</v>
      </c>
      <c r="C50" s="22"/>
      <c r="D50" s="23" t="s">
        <v>61</v>
      </c>
      <c r="E50" s="24"/>
      <c r="F50" s="66">
        <v>1.2999999999999999E-3</v>
      </c>
      <c r="G50" s="58">
        <f>G49</f>
        <v>64500</v>
      </c>
      <c r="H50" s="67">
        <f t="shared" si="9"/>
        <v>83.85</v>
      </c>
      <c r="I50" s="28"/>
      <c r="J50" s="66">
        <v>1.2999999999999999E-3</v>
      </c>
      <c r="K50" s="59">
        <f>K49</f>
        <v>62952</v>
      </c>
      <c r="L50" s="67">
        <f t="shared" si="10"/>
        <v>81.837599999999995</v>
      </c>
      <c r="M50" s="28"/>
      <c r="N50" s="31">
        <f t="shared" si="2"/>
        <v>-2.0123999999999995</v>
      </c>
      <c r="O50" s="68">
        <f t="shared" si="8"/>
        <v>-2.3999999999999997E-2</v>
      </c>
    </row>
    <row r="51" spans="2:19" x14ac:dyDescent="0.25">
      <c r="B51" s="22" t="s">
        <v>33</v>
      </c>
      <c r="C51" s="22"/>
      <c r="D51" s="23" t="s">
        <v>60</v>
      </c>
      <c r="E51" s="24"/>
      <c r="F51" s="176">
        <v>0.25</v>
      </c>
      <c r="G51" s="26">
        <v>1</v>
      </c>
      <c r="H51" s="67">
        <f t="shared" si="9"/>
        <v>0.25</v>
      </c>
      <c r="I51" s="28"/>
      <c r="J51" s="176">
        <v>0.25</v>
      </c>
      <c r="K51" s="30">
        <v>1</v>
      </c>
      <c r="L51" s="67">
        <f t="shared" si="10"/>
        <v>0.25</v>
      </c>
      <c r="M51" s="28"/>
      <c r="N51" s="31">
        <f t="shared" si="2"/>
        <v>0</v>
      </c>
      <c r="O51" s="68">
        <f t="shared" si="8"/>
        <v>0</v>
      </c>
    </row>
    <row r="52" spans="2:19" x14ac:dyDescent="0.25">
      <c r="B52" s="22" t="s">
        <v>34</v>
      </c>
      <c r="C52" s="22"/>
      <c r="D52" s="23" t="s">
        <v>61</v>
      </c>
      <c r="E52" s="24"/>
      <c r="F52" s="66">
        <v>7.0000000000000001E-3</v>
      </c>
      <c r="G52" s="69">
        <f>F16</f>
        <v>1720000</v>
      </c>
      <c r="H52" s="67">
        <f t="shared" si="9"/>
        <v>12040</v>
      </c>
      <c r="I52" s="28"/>
      <c r="J52" s="66">
        <v>7.0000000000000001E-3</v>
      </c>
      <c r="K52" s="70">
        <f>F16</f>
        <v>1720000</v>
      </c>
      <c r="L52" s="67">
        <f t="shared" si="10"/>
        <v>12040</v>
      </c>
      <c r="M52" s="28"/>
      <c r="N52" s="31">
        <f t="shared" si="2"/>
        <v>0</v>
      </c>
      <c r="O52" s="68">
        <f t="shared" si="8"/>
        <v>0</v>
      </c>
    </row>
    <row r="53" spans="2:19" ht="15.75" thickBot="1" x14ac:dyDescent="0.3">
      <c r="B53" s="49" t="s">
        <v>73</v>
      </c>
      <c r="C53" s="22"/>
      <c r="D53" s="23" t="s">
        <v>61</v>
      </c>
      <c r="E53" s="24"/>
      <c r="F53" s="66">
        <v>8.2699999999999996E-2</v>
      </c>
      <c r="G53" s="69">
        <f>F16</f>
        <v>1720000</v>
      </c>
      <c r="H53" s="187">
        <f t="shared" si="9"/>
        <v>142244</v>
      </c>
      <c r="I53" s="57"/>
      <c r="J53" s="66">
        <v>8.2699999999999996E-2</v>
      </c>
      <c r="K53" s="69">
        <f>G53</f>
        <v>1720000</v>
      </c>
      <c r="L53" s="67">
        <f t="shared" si="10"/>
        <v>142244</v>
      </c>
      <c r="M53" s="28"/>
      <c r="N53" s="31">
        <f t="shared" si="2"/>
        <v>0</v>
      </c>
      <c r="O53" s="68">
        <f t="shared" si="8"/>
        <v>0</v>
      </c>
      <c r="S53" s="72"/>
    </row>
    <row r="54" spans="2:19" ht="15.75" hidden="1" thickBot="1" x14ac:dyDescent="0.3">
      <c r="B54" s="49" t="s">
        <v>36</v>
      </c>
      <c r="C54" s="22"/>
      <c r="D54" s="23"/>
      <c r="E54" s="24"/>
      <c r="F54" s="71">
        <v>0.104</v>
      </c>
      <c r="G54" s="58">
        <v>0</v>
      </c>
      <c r="H54" s="67">
        <f t="shared" si="9"/>
        <v>0</v>
      </c>
      <c r="I54" s="28"/>
      <c r="J54" s="66">
        <v>0.104</v>
      </c>
      <c r="K54" s="58">
        <v>0</v>
      </c>
      <c r="L54" s="67">
        <f t="shared" si="10"/>
        <v>0</v>
      </c>
      <c r="M54" s="28"/>
      <c r="N54" s="31">
        <f t="shared" si="2"/>
        <v>0</v>
      </c>
      <c r="O54" s="68" t="str">
        <f t="shared" si="8"/>
        <v/>
      </c>
      <c r="S54" s="72"/>
    </row>
    <row r="55" spans="2:19" ht="15.75" hidden="1" thickBot="1" x14ac:dyDescent="0.3">
      <c r="B55" s="12" t="s">
        <v>37</v>
      </c>
      <c r="C55" s="22"/>
      <c r="D55" s="23"/>
      <c r="E55" s="24"/>
      <c r="F55" s="71">
        <v>0.124</v>
      </c>
      <c r="G55" s="58">
        <v>0</v>
      </c>
      <c r="H55" s="67">
        <f t="shared" si="9"/>
        <v>0</v>
      </c>
      <c r="I55" s="28"/>
      <c r="J55" s="66">
        <v>0.124</v>
      </c>
      <c r="K55" s="58">
        <v>0</v>
      </c>
      <c r="L55" s="67">
        <f t="shared" si="10"/>
        <v>0</v>
      </c>
      <c r="M55" s="28"/>
      <c r="N55" s="31">
        <f t="shared" si="2"/>
        <v>0</v>
      </c>
      <c r="O55" s="68" t="str">
        <f t="shared" si="8"/>
        <v/>
      </c>
      <c r="S55" s="72"/>
    </row>
    <row r="56" spans="2:19" s="73" customFormat="1" ht="15.75" hidden="1" thickBot="1" x14ac:dyDescent="0.25">
      <c r="B56" s="179" t="s">
        <v>38</v>
      </c>
      <c r="C56" s="75"/>
      <c r="D56" s="76"/>
      <c r="E56" s="77"/>
      <c r="F56" s="71">
        <v>7.4999999999999997E-2</v>
      </c>
      <c r="G56" s="78">
        <f>IF(AND($T$1=1, F16&gt;=600), 600, IF(AND($T$1=1, AND(F16&lt;600, F16&gt;=0)), F16, IF(AND($T$1=2, F16&gt;=1000), 1000, IF(AND($T$1=2, AND(F16&lt;1000, F16&gt;=0)), F16))))</f>
        <v>600</v>
      </c>
      <c r="H56" s="67">
        <f>G56*F56</f>
        <v>45</v>
      </c>
      <c r="I56" s="79"/>
      <c r="J56" s="66">
        <v>7.4999999999999997E-2</v>
      </c>
      <c r="K56" s="78">
        <f>G56</f>
        <v>600</v>
      </c>
      <c r="L56" s="67">
        <f>K56*J56</f>
        <v>45</v>
      </c>
      <c r="M56" s="79"/>
      <c r="N56" s="80">
        <f t="shared" si="2"/>
        <v>0</v>
      </c>
      <c r="O56" s="68">
        <f t="shared" si="8"/>
        <v>0</v>
      </c>
    </row>
    <row r="57" spans="2:19" s="73" customFormat="1" ht="15.75" hidden="1" thickBot="1" x14ac:dyDescent="0.25">
      <c r="B57" s="179" t="s">
        <v>39</v>
      </c>
      <c r="C57" s="75"/>
      <c r="D57" s="76"/>
      <c r="E57" s="77"/>
      <c r="F57" s="71">
        <v>8.7999999999999995E-2</v>
      </c>
      <c r="G57" s="78">
        <f>IF(AND($T$1=1, F16&gt;=600), F16-600, IF(AND($T$1=1, AND(F16&lt;600, F16&gt;=0)), 0, IF(AND($T$1=2, F16&gt;=1000), F16-1000, IF(AND($T$1=2, AND(F16&lt;1000, F16&gt;=0)), 0))))</f>
        <v>1719400</v>
      </c>
      <c r="H57" s="67">
        <f>G57*F57</f>
        <v>151307.19999999998</v>
      </c>
      <c r="I57" s="79"/>
      <c r="J57" s="66">
        <v>8.7999999999999995E-2</v>
      </c>
      <c r="K57" s="78">
        <f>G57</f>
        <v>1719400</v>
      </c>
      <c r="L57" s="67">
        <f>K57*J57</f>
        <v>151307.19999999998</v>
      </c>
      <c r="M57" s="79"/>
      <c r="N57" s="80">
        <f t="shared" si="2"/>
        <v>0</v>
      </c>
      <c r="O57" s="68">
        <f t="shared" si="8"/>
        <v>0</v>
      </c>
    </row>
    <row r="58" spans="2:19" ht="8.25" customHeight="1" thickBot="1" x14ac:dyDescent="0.3">
      <c r="B58" s="81"/>
      <c r="C58" s="82"/>
      <c r="D58" s="83"/>
      <c r="E58" s="82"/>
      <c r="F58" s="84"/>
      <c r="G58" s="85"/>
      <c r="H58" s="86"/>
      <c r="I58" s="87"/>
      <c r="J58" s="84"/>
      <c r="K58" s="88"/>
      <c r="L58" s="86"/>
      <c r="M58" s="87"/>
      <c r="N58" s="89"/>
      <c r="O58" s="90"/>
    </row>
    <row r="59" spans="2:19" ht="15.75" hidden="1" thickBot="1" x14ac:dyDescent="0.3">
      <c r="B59" s="91" t="s">
        <v>40</v>
      </c>
      <c r="C59" s="22"/>
      <c r="D59" s="22"/>
      <c r="E59" s="22"/>
      <c r="F59" s="92"/>
      <c r="G59" s="93"/>
      <c r="H59" s="94">
        <f>SUM(H49:H55,H48)</f>
        <v>185073.05000000002</v>
      </c>
      <c r="I59" s="95"/>
      <c r="J59" s="96"/>
      <c r="K59" s="96"/>
      <c r="L59" s="94">
        <f>SUM(L49:L55,L48)</f>
        <v>182258.1830233233</v>
      </c>
      <c r="M59" s="97"/>
      <c r="N59" s="98">
        <f>L59-H59</f>
        <v>-2814.8669766767125</v>
      </c>
      <c r="O59" s="99">
        <f>IF((H59)=0,"",(N59/H59))</f>
        <v>-1.5209491477428573E-2</v>
      </c>
      <c r="S59" s="72"/>
    </row>
    <row r="60" spans="2:19" ht="15.75" hidden="1" thickBot="1" x14ac:dyDescent="0.3">
      <c r="B60" s="100" t="s">
        <v>41</v>
      </c>
      <c r="C60" s="22"/>
      <c r="D60" s="22"/>
      <c r="E60" s="22"/>
      <c r="F60" s="101">
        <v>0.13</v>
      </c>
      <c r="G60" s="102"/>
      <c r="H60" s="103">
        <f>H59*F60</f>
        <v>24059.496500000005</v>
      </c>
      <c r="I60" s="104"/>
      <c r="J60" s="105">
        <v>0.13</v>
      </c>
      <c r="K60" s="104"/>
      <c r="L60" s="106">
        <f>L59*J60</f>
        <v>23693.56379303203</v>
      </c>
      <c r="M60" s="107"/>
      <c r="N60" s="108">
        <f t="shared" si="2"/>
        <v>-365.93270696797481</v>
      </c>
      <c r="O60" s="109">
        <f t="shared" si="8"/>
        <v>-1.5209491477428663E-2</v>
      </c>
      <c r="S60" s="72"/>
    </row>
    <row r="61" spans="2:19" ht="15.75" hidden="1" thickBot="1" x14ac:dyDescent="0.3">
      <c r="B61" s="110" t="s">
        <v>42</v>
      </c>
      <c r="C61" s="22"/>
      <c r="D61" s="22"/>
      <c r="E61" s="22"/>
      <c r="F61" s="111"/>
      <c r="G61" s="102"/>
      <c r="H61" s="103">
        <f>H59+H60</f>
        <v>209132.54650000003</v>
      </c>
      <c r="I61" s="104"/>
      <c r="J61" s="104"/>
      <c r="K61" s="104"/>
      <c r="L61" s="106">
        <f>L59+L60</f>
        <v>205951.74681635533</v>
      </c>
      <c r="M61" s="107"/>
      <c r="N61" s="108">
        <f t="shared" si="2"/>
        <v>-3180.7996836446982</v>
      </c>
      <c r="O61" s="109">
        <f t="shared" si="8"/>
        <v>-1.5209491477428635E-2</v>
      </c>
      <c r="S61" s="72"/>
    </row>
    <row r="62" spans="2:19" ht="15.75" hidden="1" customHeight="1" x14ac:dyDescent="0.3">
      <c r="B62" s="240" t="s">
        <v>43</v>
      </c>
      <c r="C62" s="240"/>
      <c r="D62" s="240"/>
      <c r="E62" s="22"/>
      <c r="F62" s="111"/>
      <c r="G62" s="102"/>
      <c r="H62" s="112">
        <f>ROUND(-H61*10%,2)</f>
        <v>-20913.25</v>
      </c>
      <c r="I62" s="104"/>
      <c r="J62" s="104"/>
      <c r="K62" s="104"/>
      <c r="L62" s="113">
        <f>ROUND(-L61*10%,2)</f>
        <v>-20595.169999999998</v>
      </c>
      <c r="M62" s="107"/>
      <c r="N62" s="114">
        <f t="shared" si="2"/>
        <v>318.08000000000175</v>
      </c>
      <c r="O62" s="115">
        <f t="shared" si="8"/>
        <v>-1.5209496371917409E-2</v>
      </c>
    </row>
    <row r="63" spans="2:19" ht="15.75" hidden="1" thickBot="1" x14ac:dyDescent="0.3">
      <c r="B63" s="246" t="s">
        <v>44</v>
      </c>
      <c r="C63" s="246"/>
      <c r="D63" s="246"/>
      <c r="E63" s="116"/>
      <c r="F63" s="117"/>
      <c r="G63" s="118"/>
      <c r="H63" s="119">
        <f>H61+H62</f>
        <v>188219.29650000003</v>
      </c>
      <c r="I63" s="120"/>
      <c r="J63" s="120"/>
      <c r="K63" s="120"/>
      <c r="L63" s="121">
        <f>L61+L62</f>
        <v>185356.57681635534</v>
      </c>
      <c r="M63" s="122"/>
      <c r="N63" s="123">
        <f t="shared" si="2"/>
        <v>-2862.7196836446819</v>
      </c>
      <c r="O63" s="124">
        <f t="shared" si="8"/>
        <v>-1.5209490933596607E-2</v>
      </c>
    </row>
    <row r="64" spans="2:19" s="73" customFormat="1" ht="8.25" hidden="1" customHeight="1" x14ac:dyDescent="0.25">
      <c r="B64" s="125"/>
      <c r="C64" s="126"/>
      <c r="D64" s="127"/>
      <c r="E64" s="126"/>
      <c r="F64" s="84"/>
      <c r="G64" s="128"/>
      <c r="H64" s="86"/>
      <c r="I64" s="129"/>
      <c r="J64" s="84"/>
      <c r="K64" s="130"/>
      <c r="L64" s="86"/>
      <c r="M64" s="129"/>
      <c r="N64" s="131"/>
      <c r="O64" s="90"/>
    </row>
    <row r="65" spans="1:15" s="73" customFormat="1" ht="12.75" x14ac:dyDescent="0.2">
      <c r="B65" s="132" t="s">
        <v>45</v>
      </c>
      <c r="C65" s="75"/>
      <c r="D65" s="75"/>
      <c r="E65" s="75"/>
      <c r="F65" s="133"/>
      <c r="G65" s="134"/>
      <c r="H65" s="135">
        <f>SUM(H53,H48,H49:H52)</f>
        <v>185073.05000000002</v>
      </c>
      <c r="I65" s="136"/>
      <c r="J65" s="137"/>
      <c r="K65" s="137"/>
      <c r="L65" s="188">
        <f>SUM(L53,L48,L49:L52)</f>
        <v>182258.18302332333</v>
      </c>
      <c r="M65" s="138"/>
      <c r="N65" s="139">
        <f>L65-H65</f>
        <v>-2814.8669766766834</v>
      </c>
      <c r="O65" s="99">
        <f>IF((H65)=0,"",(N65/H65))</f>
        <v>-1.5209491477428417E-2</v>
      </c>
    </row>
    <row r="66" spans="1:15" s="73" customFormat="1" ht="12.75" x14ac:dyDescent="0.2">
      <c r="B66" s="140" t="s">
        <v>41</v>
      </c>
      <c r="C66" s="75"/>
      <c r="D66" s="75"/>
      <c r="E66" s="75"/>
      <c r="F66" s="141">
        <v>0.13</v>
      </c>
      <c r="G66" s="134"/>
      <c r="H66" s="142">
        <f>H65*F66</f>
        <v>24059.496500000005</v>
      </c>
      <c r="I66" s="143"/>
      <c r="J66" s="144">
        <v>0.13</v>
      </c>
      <c r="K66" s="145"/>
      <c r="L66" s="146">
        <f>L65*J66</f>
        <v>23693.563793032034</v>
      </c>
      <c r="M66" s="147"/>
      <c r="N66" s="148">
        <f>L66-H66</f>
        <v>-365.93270696797117</v>
      </c>
      <c r="O66" s="109">
        <f>IF((H66)=0,"",(N66/H66))</f>
        <v>-1.5209491477428512E-2</v>
      </c>
    </row>
    <row r="67" spans="1:15" s="73" customFormat="1" ht="12.75" x14ac:dyDescent="0.2">
      <c r="B67" s="149" t="s">
        <v>42</v>
      </c>
      <c r="C67" s="75"/>
      <c r="D67" s="75"/>
      <c r="E67" s="75"/>
      <c r="F67" s="150"/>
      <c r="G67" s="151"/>
      <c r="H67" s="142">
        <f>H65+H66</f>
        <v>209132.54650000003</v>
      </c>
      <c r="I67" s="143"/>
      <c r="J67" s="143"/>
      <c r="K67" s="143"/>
      <c r="L67" s="146">
        <f>L65+L66</f>
        <v>205951.74681635536</v>
      </c>
      <c r="M67" s="147"/>
      <c r="N67" s="148">
        <f>L67-H67</f>
        <v>-3180.7996836446691</v>
      </c>
      <c r="O67" s="109">
        <f>IF((H67)=0,"",(N67/H67))</f>
        <v>-1.5209491477428496E-2</v>
      </c>
    </row>
    <row r="68" spans="1:15" s="73" customFormat="1" ht="15.75" customHeight="1" x14ac:dyDescent="0.2">
      <c r="B68" s="241" t="s">
        <v>43</v>
      </c>
      <c r="C68" s="241"/>
      <c r="D68" s="241"/>
      <c r="E68" s="75"/>
      <c r="F68" s="150"/>
      <c r="G68" s="151"/>
      <c r="H68" s="152"/>
      <c r="I68" s="143"/>
      <c r="J68" s="143"/>
      <c r="K68" s="143"/>
      <c r="L68" s="153"/>
      <c r="M68" s="147"/>
      <c r="N68" s="154">
        <f>L68-H68</f>
        <v>0</v>
      </c>
      <c r="O68" s="115" t="str">
        <f>IF((H68)=0,"",(N68/H68))</f>
        <v/>
      </c>
    </row>
    <row r="69" spans="1:15" s="73" customFormat="1" ht="13.5" thickBot="1" x14ac:dyDescent="0.25">
      <c r="B69" s="233" t="s">
        <v>46</v>
      </c>
      <c r="C69" s="233"/>
      <c r="D69" s="233"/>
      <c r="E69" s="155"/>
      <c r="F69" s="156"/>
      <c r="G69" s="157"/>
      <c r="H69" s="158">
        <f>SUM(H67:H68)</f>
        <v>209132.54650000003</v>
      </c>
      <c r="I69" s="159"/>
      <c r="J69" s="159"/>
      <c r="K69" s="159"/>
      <c r="L69" s="160">
        <f>SUM(L67:L68)</f>
        <v>205951.74681635536</v>
      </c>
      <c r="M69" s="161"/>
      <c r="N69" s="162">
        <f>L69-H69</f>
        <v>-3180.7996836446691</v>
      </c>
      <c r="O69" s="163">
        <f>IF((H69)=0,"",(N69/H69))</f>
        <v>-1.5209491477428496E-2</v>
      </c>
    </row>
    <row r="70" spans="1:15" s="73" customFormat="1" ht="8.25" customHeight="1" thickBot="1" x14ac:dyDescent="0.25">
      <c r="B70" s="125"/>
      <c r="C70" s="126"/>
      <c r="D70" s="127"/>
      <c r="E70" s="126"/>
      <c r="F70" s="164"/>
      <c r="G70" s="165"/>
      <c r="H70" s="166"/>
      <c r="I70" s="167"/>
      <c r="J70" s="164"/>
      <c r="K70" s="128"/>
      <c r="L70" s="168"/>
      <c r="M70" s="129"/>
      <c r="N70" s="169"/>
      <c r="O70" s="90"/>
    </row>
    <row r="71" spans="1:15" ht="10.5" customHeight="1" x14ac:dyDescent="0.25">
      <c r="L71" s="72"/>
    </row>
    <row r="72" spans="1:15" x14ac:dyDescent="0.25">
      <c r="B72" s="13" t="s">
        <v>47</v>
      </c>
      <c r="F72" s="199">
        <v>3.7499999999999999E-2</v>
      </c>
      <c r="J72" s="199">
        <v>3.6600000000000001E-2</v>
      </c>
    </row>
    <row r="73" spans="1:15" ht="10.5" customHeight="1" x14ac:dyDescent="0.25"/>
    <row r="74" spans="1:15" x14ac:dyDescent="0.25">
      <c r="A74" s="171" t="s">
        <v>48</v>
      </c>
    </row>
    <row r="75" spans="1:15" ht="10.5" customHeight="1" x14ac:dyDescent="0.25"/>
    <row r="76" spans="1:15" x14ac:dyDescent="0.25">
      <c r="A76" s="7" t="s">
        <v>49</v>
      </c>
    </row>
    <row r="77" spans="1:15" x14ac:dyDescent="0.25">
      <c r="A77" s="7" t="s">
        <v>50</v>
      </c>
    </row>
    <row r="79" spans="1:15" x14ac:dyDescent="0.25">
      <c r="A79" s="12" t="s">
        <v>51</v>
      </c>
    </row>
    <row r="80" spans="1:15" x14ac:dyDescent="0.25">
      <c r="A80" s="12" t="s">
        <v>52</v>
      </c>
    </row>
    <row r="82" spans="1:2" x14ac:dyDescent="0.25">
      <c r="A82" s="7" t="s">
        <v>53</v>
      </c>
    </row>
    <row r="83" spans="1:2" x14ac:dyDescent="0.25">
      <c r="A83" s="7" t="s">
        <v>54</v>
      </c>
    </row>
    <row r="84" spans="1:2" x14ac:dyDescent="0.25">
      <c r="A84" s="7" t="s">
        <v>55</v>
      </c>
    </row>
    <row r="85" spans="1:2" x14ac:dyDescent="0.25">
      <c r="A85" s="7" t="s">
        <v>56</v>
      </c>
    </row>
    <row r="86" spans="1:2" x14ac:dyDescent="0.25">
      <c r="A86" s="7" t="s">
        <v>57</v>
      </c>
    </row>
    <row r="88" spans="1:2" x14ac:dyDescent="0.25">
      <c r="A88" s="172"/>
      <c r="B88" s="7" t="s">
        <v>58</v>
      </c>
    </row>
  </sheetData>
  <mergeCells count="17">
    <mergeCell ref="B62:D62"/>
    <mergeCell ref="B63:D63"/>
    <mergeCell ref="B68:D68"/>
    <mergeCell ref="B69:D69"/>
    <mergeCell ref="D12:O12"/>
    <mergeCell ref="F18:H18"/>
    <mergeCell ref="J18:L18"/>
    <mergeCell ref="N18:O18"/>
    <mergeCell ref="D19:D20"/>
    <mergeCell ref="N19:N20"/>
    <mergeCell ref="O19:O20"/>
    <mergeCell ref="B9:O9"/>
    <mergeCell ref="N1:O1"/>
    <mergeCell ref="N2:O2"/>
    <mergeCell ref="N3:O3"/>
    <mergeCell ref="N5:O5"/>
    <mergeCell ref="B8:O8"/>
  </mergeCells>
  <dataValidations count="4">
    <dataValidation type="list" allowBlank="1" showInputMessage="1" showErrorMessage="1" sqref="D14">
      <formula1>"TOU, non-TOU"</formula1>
    </dataValidation>
    <dataValidation type="list" allowBlank="1" showInputMessage="1" showErrorMessage="1" sqref="E70 E64 E56:E57">
      <formula1>#REF!</formula1>
    </dataValidation>
    <dataValidation type="list" allowBlank="1" showInputMessage="1" showErrorMessage="1" prompt="Select Charge Unit - monthly, per kWh, per kW" sqref="D46:D47 D38:D44 D64 D21:D36 D70 D49:D58">
      <formula1>"Monthly, per kWh, per kW"</formula1>
    </dataValidation>
    <dataValidation type="list" allowBlank="1" showInputMessage="1" showErrorMessage="1" sqref="E46:E47 E38:E44 E21:E36 E49:E55 E58">
      <formula1>#REF!</formula1>
    </dataValidation>
  </dataValidations>
  <pageMargins left="0.7" right="0.7" top="0.75" bottom="0.75" header="0.3" footer="0.3"/>
  <pageSetup scale="58" fitToHeight="0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>
    <tabColor theme="0" tint="-0.14999847407452621"/>
    <pageSetUpPr fitToPage="1"/>
  </sheetPr>
  <dimension ref="A1:T88"/>
  <sheetViews>
    <sheetView showGridLines="0" workbookViewId="0">
      <selection activeCell="L1" sqref="L1:O5"/>
    </sheetView>
  </sheetViews>
  <sheetFormatPr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8.5703125" style="7" customWidth="1"/>
    <col min="8" max="8" width="12.28515625" style="7" bestFit="1" customWidth="1"/>
    <col min="9" max="9" width="2.85546875" style="7" customWidth="1"/>
    <col min="10" max="10" width="12.140625" style="7" customWidth="1"/>
    <col min="11" max="11" width="8.5703125" style="7" customWidth="1"/>
    <col min="12" max="12" width="13.42578125" style="7" bestFit="1" customWidth="1"/>
    <col min="13" max="13" width="2.85546875" style="7" customWidth="1"/>
    <col min="14" max="14" width="12.7109375" style="7" bestFit="1" customWidth="1"/>
    <col min="15" max="15" width="12.85546875" style="7" customWidth="1"/>
    <col min="16" max="16" width="3.8554687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248" t="str">
        <f>'Res (100kWh)'!$N$1:$O$1</f>
        <v>EB-2014-0099</v>
      </c>
      <c r="O1" s="248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94</v>
      </c>
      <c r="N2" s="249">
        <f>'Res (100kWh)'!$N$2:$O$2</f>
        <v>8</v>
      </c>
      <c r="O2" s="249"/>
    </row>
    <row r="3" spans="1:20" s="2" customFormat="1" ht="15" customHeight="1" x14ac:dyDescent="0.25">
      <c r="C3" s="6"/>
      <c r="D3" s="6"/>
      <c r="E3" s="6"/>
      <c r="L3" s="3" t="s">
        <v>95</v>
      </c>
      <c r="N3" s="248" t="str">
        <f>'Res (100kWh)'!$N$3:$O$3</f>
        <v>8-B</v>
      </c>
      <c r="O3" s="248"/>
    </row>
    <row r="4" spans="1:20" s="2" customFormat="1" ht="9" customHeight="1" x14ac:dyDescent="0.25">
      <c r="L4" s="3"/>
      <c r="N4" s="232"/>
      <c r="O4"/>
    </row>
    <row r="5" spans="1:20" s="2" customFormat="1" x14ac:dyDescent="0.25">
      <c r="L5" s="3" t="s">
        <v>75</v>
      </c>
      <c r="N5" s="248">
        <f>'Res (100kWh)'!$N$5:$O$5</f>
        <v>42118</v>
      </c>
      <c r="O5" s="248"/>
    </row>
    <row r="6" spans="1:20" s="2" customFormat="1" ht="15" customHeight="1" x14ac:dyDescent="0.25">
      <c r="N6" s="7"/>
      <c r="O6"/>
      <c r="P6"/>
    </row>
    <row r="7" spans="1:20" ht="7.5" customHeight="1" x14ac:dyDescent="0.25">
      <c r="L7"/>
      <c r="M7"/>
      <c r="N7"/>
      <c r="O7"/>
      <c r="P7"/>
    </row>
    <row r="8" spans="1:20" ht="18.75" customHeight="1" x14ac:dyDescent="0.25">
      <c r="B8" s="247" t="s">
        <v>1</v>
      </c>
      <c r="C8" s="247"/>
      <c r="D8" s="247"/>
      <c r="E8" s="247"/>
      <c r="F8" s="247"/>
      <c r="G8" s="247"/>
      <c r="H8" s="247"/>
      <c r="I8" s="247"/>
      <c r="J8" s="247"/>
      <c r="K8" s="247"/>
      <c r="L8" s="247"/>
      <c r="M8" s="247"/>
      <c r="N8" s="247"/>
      <c r="O8" s="247"/>
      <c r="P8"/>
    </row>
    <row r="9" spans="1:20" ht="18.75" customHeight="1" x14ac:dyDescent="0.25">
      <c r="B9" s="247" t="s">
        <v>2</v>
      </c>
      <c r="C9" s="247"/>
      <c r="D9" s="247"/>
      <c r="E9" s="247"/>
      <c r="F9" s="247"/>
      <c r="G9" s="247"/>
      <c r="H9" s="247"/>
      <c r="I9" s="247"/>
      <c r="J9" s="247"/>
      <c r="K9" s="247"/>
      <c r="L9" s="247"/>
      <c r="M9" s="247"/>
      <c r="N9" s="247"/>
      <c r="O9" s="247"/>
      <c r="P9"/>
    </row>
    <row r="10" spans="1:20" ht="7.5" customHeight="1" x14ac:dyDescent="0.25">
      <c r="L10"/>
      <c r="M10"/>
      <c r="N10"/>
      <c r="O10"/>
      <c r="P10"/>
    </row>
    <row r="11" spans="1:20" ht="7.5" customHeight="1" x14ac:dyDescent="0.25">
      <c r="L11"/>
      <c r="M11"/>
      <c r="N11"/>
      <c r="O11"/>
      <c r="P11"/>
    </row>
    <row r="12" spans="1:20" ht="15.75" x14ac:dyDescent="0.25">
      <c r="B12" s="8" t="s">
        <v>3</v>
      </c>
      <c r="D12" s="242" t="s">
        <v>81</v>
      </c>
      <c r="E12" s="242"/>
      <c r="F12" s="242"/>
      <c r="G12" s="242"/>
      <c r="H12" s="242"/>
      <c r="I12" s="242"/>
      <c r="J12" s="242"/>
      <c r="K12" s="242"/>
      <c r="L12" s="242"/>
      <c r="M12" s="242"/>
      <c r="N12" s="242"/>
      <c r="O12" s="242"/>
    </row>
    <row r="13" spans="1:20" ht="7.5" customHeight="1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68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x14ac:dyDescent="0.25">
      <c r="B16" s="12"/>
      <c r="D16" s="13" t="s">
        <v>6</v>
      </c>
      <c r="E16" s="13"/>
      <c r="F16" s="14">
        <v>1800000</v>
      </c>
      <c r="G16" s="13" t="s">
        <v>7</v>
      </c>
      <c r="H16" s="14">
        <v>5000</v>
      </c>
      <c r="I16" s="13" t="s">
        <v>69</v>
      </c>
    </row>
    <row r="17" spans="2:15" x14ac:dyDescent="0.25">
      <c r="B17" s="12"/>
    </row>
    <row r="18" spans="2:15" x14ac:dyDescent="0.25">
      <c r="B18" s="12"/>
      <c r="D18" s="15"/>
      <c r="E18" s="15"/>
      <c r="F18" s="243" t="s">
        <v>8</v>
      </c>
      <c r="G18" s="244"/>
      <c r="H18" s="245"/>
      <c r="J18" s="243" t="s">
        <v>9</v>
      </c>
      <c r="K18" s="244"/>
      <c r="L18" s="245"/>
      <c r="N18" s="243" t="s">
        <v>10</v>
      </c>
      <c r="O18" s="245"/>
    </row>
    <row r="19" spans="2:15" x14ac:dyDescent="0.25">
      <c r="B19" s="12"/>
      <c r="D19" s="234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236" t="s">
        <v>15</v>
      </c>
      <c r="O19" s="238" t="s">
        <v>16</v>
      </c>
    </row>
    <row r="20" spans="2:15" x14ac:dyDescent="0.25">
      <c r="B20" s="12"/>
      <c r="D20" s="235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237"/>
      <c r="O20" s="239"/>
    </row>
    <row r="21" spans="2:15" ht="22.5" customHeight="1" x14ac:dyDescent="0.25">
      <c r="B21" s="22" t="s">
        <v>18</v>
      </c>
      <c r="C21" s="22"/>
      <c r="D21" s="23" t="s">
        <v>60</v>
      </c>
      <c r="E21" s="24"/>
      <c r="F21" s="174">
        <f>'[2]2014 Existing Rates'!$C$9</f>
        <v>5844.1</v>
      </c>
      <c r="G21" s="26">
        <v>1</v>
      </c>
      <c r="H21" s="27">
        <f>G21*F21</f>
        <v>5844.1</v>
      </c>
      <c r="I21" s="28"/>
      <c r="J21" s="173">
        <f>'[2]Rate Schedule '!$E$28</f>
        <v>6678.53</v>
      </c>
      <c r="K21" s="30">
        <v>1</v>
      </c>
      <c r="L21" s="27">
        <f>K21*J21</f>
        <v>6678.53</v>
      </c>
      <c r="M21" s="28"/>
      <c r="N21" s="31">
        <f>L21-H21</f>
        <v>834.42999999999938</v>
      </c>
      <c r="O21" s="32">
        <f>IF((H21)=0,"",(N21/H21))</f>
        <v>0.14278160880203955</v>
      </c>
    </row>
    <row r="22" spans="2:15" ht="36.75" customHeight="1" x14ac:dyDescent="0.25">
      <c r="B22" s="65" t="s">
        <v>80</v>
      </c>
      <c r="C22" s="22"/>
      <c r="D22" s="56" t="s">
        <v>60</v>
      </c>
      <c r="E22" s="24"/>
      <c r="F22" s="173"/>
      <c r="G22" s="26">
        <v>1</v>
      </c>
      <c r="H22" s="27">
        <f t="shared" ref="H22:H36" si="0">G22*F22</f>
        <v>0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0</v>
      </c>
      <c r="O22" s="32" t="str">
        <f>IF((H22)=0,"",(N22/H22))</f>
        <v/>
      </c>
    </row>
    <row r="23" spans="2:15" hidden="1" x14ac:dyDescent="0.25">
      <c r="B23" s="175"/>
      <c r="C23" s="22"/>
      <c r="D23" s="56" t="s">
        <v>60</v>
      </c>
      <c r="E23" s="57"/>
      <c r="F23" s="173"/>
      <c r="G23" s="26">
        <v>1</v>
      </c>
      <c r="H23" s="27">
        <f t="shared" si="0"/>
        <v>0</v>
      </c>
      <c r="I23" s="28"/>
      <c r="J23" s="29"/>
      <c r="K23" s="30">
        <v>1</v>
      </c>
      <c r="L23" s="27">
        <f t="shared" ref="L23:L36" si="1">K23*J23</f>
        <v>0</v>
      </c>
      <c r="M23" s="28"/>
      <c r="N23" s="31">
        <f t="shared" ref="N23:N63" si="2">L23-H23</f>
        <v>0</v>
      </c>
      <c r="O23" s="32" t="str">
        <f t="shared" ref="O23:O43" si="3">IF((H23)=0,"",(N23/H23))</f>
        <v/>
      </c>
    </row>
    <row r="24" spans="2:15" hidden="1" x14ac:dyDescent="0.25">
      <c r="B24" s="175"/>
      <c r="C24" s="22"/>
      <c r="D24" s="56" t="s">
        <v>60</v>
      </c>
      <c r="E24" s="24"/>
      <c r="F24" s="25"/>
      <c r="G24" s="26">
        <v>1</v>
      </c>
      <c r="H24" s="27">
        <f t="shared" si="0"/>
        <v>0</v>
      </c>
      <c r="I24" s="28"/>
      <c r="J24" s="173"/>
      <c r="K24" s="30">
        <v>1</v>
      </c>
      <c r="L24" s="27">
        <f t="shared" si="1"/>
        <v>0</v>
      </c>
      <c r="M24" s="28"/>
      <c r="N24" s="31">
        <f t="shared" si="2"/>
        <v>0</v>
      </c>
      <c r="O24" s="32" t="str">
        <f t="shared" si="3"/>
        <v/>
      </c>
    </row>
    <row r="25" spans="2:15" x14ac:dyDescent="0.25">
      <c r="B25" s="46" t="s">
        <v>65</v>
      </c>
      <c r="C25" s="22"/>
      <c r="D25" s="23" t="s">
        <v>70</v>
      </c>
      <c r="E25" s="24"/>
      <c r="F25" s="25">
        <v>-1.8700000000000001E-2</v>
      </c>
      <c r="G25" s="178">
        <f>$H$16</f>
        <v>5000</v>
      </c>
      <c r="H25" s="27">
        <f t="shared" si="0"/>
        <v>-93.5</v>
      </c>
      <c r="I25" s="28"/>
      <c r="J25" s="29"/>
      <c r="K25" s="178">
        <f>$H$16</f>
        <v>5000</v>
      </c>
      <c r="L25" s="27">
        <f t="shared" si="1"/>
        <v>0</v>
      </c>
      <c r="M25" s="28"/>
      <c r="N25" s="31">
        <f t="shared" si="2"/>
        <v>93.5</v>
      </c>
      <c r="O25" s="32">
        <f t="shared" si="3"/>
        <v>-1</v>
      </c>
    </row>
    <row r="26" spans="2:15" x14ac:dyDescent="0.25">
      <c r="B26" s="46" t="s">
        <v>66</v>
      </c>
      <c r="C26" s="22"/>
      <c r="D26" s="23" t="s">
        <v>70</v>
      </c>
      <c r="E26" s="24"/>
      <c r="F26" s="25"/>
      <c r="G26" s="178">
        <f>$H$16</f>
        <v>5000</v>
      </c>
      <c r="H26" s="27">
        <f t="shared" si="0"/>
        <v>0</v>
      </c>
      <c r="I26" s="28"/>
      <c r="J26" s="29">
        <f>'[4]6. Rate Rider Calculations'!$F$78</f>
        <v>-3.6250990479049956</v>
      </c>
      <c r="K26" s="178">
        <f>$H$16</f>
        <v>5000</v>
      </c>
      <c r="L26" s="27">
        <f t="shared" si="1"/>
        <v>-18125.495239524978</v>
      </c>
      <c r="M26" s="28"/>
      <c r="N26" s="31">
        <f t="shared" si="2"/>
        <v>-18125.495239524978</v>
      </c>
      <c r="O26" s="32" t="str">
        <f t="shared" si="3"/>
        <v/>
      </c>
    </row>
    <row r="27" spans="2:15" x14ac:dyDescent="0.25">
      <c r="B27" s="22" t="s">
        <v>19</v>
      </c>
      <c r="C27" s="22"/>
      <c r="D27" s="23" t="s">
        <v>70</v>
      </c>
      <c r="E27" s="24"/>
      <c r="F27" s="25">
        <f>'[2]2014 Existing Rates'!$D$9</f>
        <v>1.115</v>
      </c>
      <c r="G27" s="178">
        <f>$H$16</f>
        <v>5000</v>
      </c>
      <c r="H27" s="27">
        <f t="shared" si="0"/>
        <v>5575</v>
      </c>
      <c r="I27" s="28"/>
      <c r="J27" s="29">
        <f>'[2]Rate Schedule '!$E$29</f>
        <v>1.1884999999999999</v>
      </c>
      <c r="K27" s="178">
        <f>$H$16</f>
        <v>5000</v>
      </c>
      <c r="L27" s="27">
        <f t="shared" si="1"/>
        <v>5942.4999999999991</v>
      </c>
      <c r="M27" s="28"/>
      <c r="N27" s="31">
        <f t="shared" si="2"/>
        <v>367.49999999999909</v>
      </c>
      <c r="O27" s="32">
        <f t="shared" si="3"/>
        <v>6.5919282511210597E-2</v>
      </c>
    </row>
    <row r="28" spans="2:15" hidden="1" x14ac:dyDescent="0.25">
      <c r="B28" s="22" t="s">
        <v>20</v>
      </c>
      <c r="C28" s="22"/>
      <c r="D28" s="23"/>
      <c r="E28" s="24"/>
      <c r="F28" s="25"/>
      <c r="G28" s="26">
        <f>$F$16</f>
        <v>1800000</v>
      </c>
      <c r="H28" s="27">
        <f t="shared" si="0"/>
        <v>0</v>
      </c>
      <c r="I28" s="28"/>
      <c r="J28" s="29"/>
      <c r="K28" s="26">
        <f t="shared" ref="K28:K36" si="4">$F$16</f>
        <v>1800000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hidden="1" x14ac:dyDescent="0.25">
      <c r="B29" s="22" t="s">
        <v>21</v>
      </c>
      <c r="C29" s="22"/>
      <c r="D29" s="23"/>
      <c r="E29" s="24"/>
      <c r="F29" s="25"/>
      <c r="G29" s="26">
        <f>$F$16</f>
        <v>1800000</v>
      </c>
      <c r="H29" s="27">
        <f t="shared" si="0"/>
        <v>0</v>
      </c>
      <c r="I29" s="28"/>
      <c r="J29" s="29"/>
      <c r="K29" s="26">
        <f t="shared" si="4"/>
        <v>1800000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idden="1" x14ac:dyDescent="0.25">
      <c r="B30" s="33"/>
      <c r="C30" s="22"/>
      <c r="D30" s="23"/>
      <c r="E30" s="24"/>
      <c r="F30" s="25"/>
      <c r="G30" s="26">
        <f t="shared" ref="G30:G36" si="5">$F$16</f>
        <v>1800000</v>
      </c>
      <c r="H30" s="27">
        <f t="shared" si="0"/>
        <v>0</v>
      </c>
      <c r="I30" s="28"/>
      <c r="J30" s="29"/>
      <c r="K30" s="26">
        <f t="shared" si="4"/>
        <v>1800000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idden="1" x14ac:dyDescent="0.25">
      <c r="B31" s="33"/>
      <c r="C31" s="22"/>
      <c r="D31" s="23"/>
      <c r="E31" s="24"/>
      <c r="F31" s="25"/>
      <c r="G31" s="26">
        <f t="shared" si="5"/>
        <v>1800000</v>
      </c>
      <c r="H31" s="27">
        <f t="shared" si="0"/>
        <v>0</v>
      </c>
      <c r="I31" s="28"/>
      <c r="J31" s="29"/>
      <c r="K31" s="26">
        <f t="shared" si="4"/>
        <v>1800000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idden="1" x14ac:dyDescent="0.25">
      <c r="B32" s="33"/>
      <c r="C32" s="22"/>
      <c r="D32" s="23"/>
      <c r="E32" s="24"/>
      <c r="F32" s="25"/>
      <c r="G32" s="26">
        <f t="shared" si="5"/>
        <v>1800000</v>
      </c>
      <c r="H32" s="27">
        <f t="shared" si="0"/>
        <v>0</v>
      </c>
      <c r="I32" s="28"/>
      <c r="J32" s="29"/>
      <c r="K32" s="26">
        <f t="shared" si="4"/>
        <v>1800000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idden="1" x14ac:dyDescent="0.25">
      <c r="B33" s="33"/>
      <c r="C33" s="22"/>
      <c r="D33" s="23"/>
      <c r="E33" s="24"/>
      <c r="F33" s="25"/>
      <c r="G33" s="26">
        <f t="shared" si="5"/>
        <v>1800000</v>
      </c>
      <c r="H33" s="27">
        <f t="shared" si="0"/>
        <v>0</v>
      </c>
      <c r="I33" s="28"/>
      <c r="J33" s="29"/>
      <c r="K33" s="26">
        <f t="shared" si="4"/>
        <v>1800000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idden="1" x14ac:dyDescent="0.25">
      <c r="B34" s="33"/>
      <c r="C34" s="22"/>
      <c r="D34" s="23"/>
      <c r="E34" s="24"/>
      <c r="F34" s="25"/>
      <c r="G34" s="26">
        <f t="shared" si="5"/>
        <v>1800000</v>
      </c>
      <c r="H34" s="27">
        <f t="shared" si="0"/>
        <v>0</v>
      </c>
      <c r="I34" s="28"/>
      <c r="J34" s="29"/>
      <c r="K34" s="26">
        <f t="shared" si="4"/>
        <v>1800000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idden="1" x14ac:dyDescent="0.25">
      <c r="B35" s="33"/>
      <c r="C35" s="22"/>
      <c r="D35" s="23"/>
      <c r="E35" s="24"/>
      <c r="F35" s="25"/>
      <c r="G35" s="26">
        <f t="shared" si="5"/>
        <v>1800000</v>
      </c>
      <c r="H35" s="27">
        <f t="shared" si="0"/>
        <v>0</v>
      </c>
      <c r="I35" s="28"/>
      <c r="J35" s="29"/>
      <c r="K35" s="26">
        <f t="shared" si="4"/>
        <v>1800000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idden="1" x14ac:dyDescent="0.25">
      <c r="B36" s="33"/>
      <c r="C36" s="22"/>
      <c r="D36" s="23"/>
      <c r="E36" s="24"/>
      <c r="F36" s="25"/>
      <c r="G36" s="26">
        <f t="shared" si="5"/>
        <v>1800000</v>
      </c>
      <c r="H36" s="27">
        <f t="shared" si="0"/>
        <v>0</v>
      </c>
      <c r="I36" s="28"/>
      <c r="J36" s="29"/>
      <c r="K36" s="26">
        <f t="shared" si="4"/>
        <v>1800000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x14ac:dyDescent="0.25">
      <c r="B37" s="35" t="s">
        <v>22</v>
      </c>
      <c r="C37" s="36"/>
      <c r="D37" s="37"/>
      <c r="E37" s="36"/>
      <c r="F37" s="38"/>
      <c r="G37" s="39"/>
      <c r="H37" s="40">
        <f>SUM(H21:H36)</f>
        <v>11325.6</v>
      </c>
      <c r="I37" s="41"/>
      <c r="J37" s="42"/>
      <c r="K37" s="43"/>
      <c r="L37" s="40">
        <f>SUM(L21:L36)</f>
        <v>-5504.4652395249805</v>
      </c>
      <c r="M37" s="41"/>
      <c r="N37" s="44">
        <f t="shared" si="2"/>
        <v>-16830.065239524982</v>
      </c>
      <c r="O37" s="45">
        <f t="shared" si="3"/>
        <v>-1.486019746373259</v>
      </c>
    </row>
    <row r="38" spans="2:15" x14ac:dyDescent="0.25">
      <c r="B38" s="46" t="s">
        <v>23</v>
      </c>
      <c r="C38" s="22"/>
      <c r="D38" s="56" t="s">
        <v>70</v>
      </c>
      <c r="E38" s="57"/>
      <c r="F38" s="29">
        <v>-0.9143</v>
      </c>
      <c r="G38" s="178">
        <f>G27</f>
        <v>5000</v>
      </c>
      <c r="H38" s="27">
        <f t="shared" ref="H38:H44" si="6">G38*F38</f>
        <v>-4571.5</v>
      </c>
      <c r="I38" s="28"/>
      <c r="J38" s="29">
        <f>'[4]6. Rate Rider Calculations'!$F$23</f>
        <v>0.89415342515110929</v>
      </c>
      <c r="K38" s="178">
        <f>H16</f>
        <v>5000</v>
      </c>
      <c r="L38" s="27">
        <f t="shared" ref="L38:L44" si="7">K38*J38</f>
        <v>4470.7671257555467</v>
      </c>
      <c r="M38" s="28"/>
      <c r="N38" s="31">
        <f t="shared" si="2"/>
        <v>9042.2671257555467</v>
      </c>
      <c r="O38" s="32">
        <f t="shared" si="3"/>
        <v>-1.9779650280554624</v>
      </c>
    </row>
    <row r="39" spans="2:15" hidden="1" x14ac:dyDescent="0.25">
      <c r="B39" s="46"/>
      <c r="C39" s="22"/>
      <c r="D39" s="23" t="s">
        <v>70</v>
      </c>
      <c r="E39" s="24"/>
      <c r="F39" s="25"/>
      <c r="G39" s="178">
        <f>H16</f>
        <v>5000</v>
      </c>
      <c r="H39" s="27">
        <f t="shared" si="6"/>
        <v>0</v>
      </c>
      <c r="I39" s="47"/>
      <c r="J39" s="29"/>
      <c r="K39" s="178">
        <f>H16</f>
        <v>5000</v>
      </c>
      <c r="L39" s="27">
        <f t="shared" si="7"/>
        <v>0</v>
      </c>
      <c r="M39" s="48"/>
      <c r="N39" s="31">
        <f t="shared" si="2"/>
        <v>0</v>
      </c>
      <c r="O39" s="32" t="str">
        <f t="shared" si="3"/>
        <v/>
      </c>
    </row>
    <row r="40" spans="2:15" hidden="1" x14ac:dyDescent="0.25">
      <c r="B40" s="46"/>
      <c r="C40" s="22"/>
      <c r="D40" s="23" t="s">
        <v>70</v>
      </c>
      <c r="E40" s="24"/>
      <c r="F40" s="25"/>
      <c r="G40" s="178">
        <f>H16</f>
        <v>5000</v>
      </c>
      <c r="H40" s="27">
        <f t="shared" si="6"/>
        <v>0</v>
      </c>
      <c r="I40" s="47"/>
      <c r="J40" s="29"/>
      <c r="K40" s="178">
        <f>H16</f>
        <v>5000</v>
      </c>
      <c r="L40" s="27">
        <f t="shared" si="7"/>
        <v>0</v>
      </c>
      <c r="M40" s="48"/>
      <c r="N40" s="31">
        <f t="shared" si="2"/>
        <v>0</v>
      </c>
      <c r="O40" s="32" t="str">
        <f t="shared" si="3"/>
        <v/>
      </c>
    </row>
    <row r="41" spans="2:15" ht="30.75" customHeight="1" x14ac:dyDescent="0.25">
      <c r="B41" s="46" t="s">
        <v>74</v>
      </c>
      <c r="C41" s="22"/>
      <c r="D41" s="23" t="s">
        <v>70</v>
      </c>
      <c r="E41" s="24"/>
      <c r="F41" s="29">
        <v>0.41589999999999999</v>
      </c>
      <c r="G41" s="178">
        <f>H16</f>
        <v>5000</v>
      </c>
      <c r="H41" s="27">
        <f t="shared" si="6"/>
        <v>2079.5</v>
      </c>
      <c r="I41" s="47"/>
      <c r="J41" s="29">
        <f>'[4]6. Rate Rider Calculations'!$F$50</f>
        <v>0.90882007219536498</v>
      </c>
      <c r="K41" s="178">
        <f>H16</f>
        <v>5000</v>
      </c>
      <c r="L41" s="27">
        <f t="shared" si="7"/>
        <v>4544.100360976825</v>
      </c>
      <c r="M41" s="48"/>
      <c r="N41" s="31">
        <f t="shared" si="2"/>
        <v>2464.600360976825</v>
      </c>
      <c r="O41" s="32">
        <f t="shared" si="3"/>
        <v>1.1851889208833013</v>
      </c>
    </row>
    <row r="42" spans="2:15" x14ac:dyDescent="0.25">
      <c r="B42" s="49" t="s">
        <v>24</v>
      </c>
      <c r="C42" s="22"/>
      <c r="D42" s="23" t="s">
        <v>70</v>
      </c>
      <c r="E42" s="24"/>
      <c r="F42" s="25">
        <v>1.54E-2</v>
      </c>
      <c r="G42" s="178">
        <f>H16</f>
        <v>5000</v>
      </c>
      <c r="H42" s="27">
        <f t="shared" si="6"/>
        <v>77</v>
      </c>
      <c r="I42" s="28"/>
      <c r="J42" s="29">
        <f>'[2]Rate Schedule '!$E$30</f>
        <v>2.8500000000000001E-2</v>
      </c>
      <c r="K42" s="178">
        <f>H16</f>
        <v>5000</v>
      </c>
      <c r="L42" s="27">
        <f t="shared" si="7"/>
        <v>142.5</v>
      </c>
      <c r="M42" s="28"/>
      <c r="N42" s="31">
        <f t="shared" si="2"/>
        <v>65.5</v>
      </c>
      <c r="O42" s="32">
        <f t="shared" si="3"/>
        <v>0.85064935064935066</v>
      </c>
    </row>
    <row r="43" spans="2:15" s="34" customFormat="1" x14ac:dyDescent="0.25">
      <c r="B43" s="180" t="s">
        <v>25</v>
      </c>
      <c r="C43" s="24"/>
      <c r="D43" s="181" t="s">
        <v>61</v>
      </c>
      <c r="E43" s="24"/>
      <c r="F43" s="182">
        <f>IF(ISBLANK(D14)=TRUE, 0, IF(D14="TOU", 0.64*$F$53+0.18*$F$54+0.18*$F$55, IF(AND(D14="non-TOU", G57&gt;0), F57,F56)))</f>
        <v>8.7999999999999995E-2</v>
      </c>
      <c r="G43" s="26">
        <f>$F$16*(1+$F$72)-$F$16</f>
        <v>86400</v>
      </c>
      <c r="H43" s="183">
        <f t="shared" si="6"/>
        <v>7603.2</v>
      </c>
      <c r="I43" s="57"/>
      <c r="J43" s="184">
        <f>IF(ISBLANK(D14)=TRUE, 0, IF(D14="TOU", 0.64*$F$53+0.18*$F$54+0.18*$F$55, IF(AND(D14="non-TOU", K57&gt;0), J57,J56)))</f>
        <v>8.7999999999999995E-2</v>
      </c>
      <c r="K43" s="26">
        <f>$F$16*(1+$J$72)-$F$16</f>
        <v>84779.999999999767</v>
      </c>
      <c r="L43" s="183">
        <f t="shared" si="7"/>
        <v>7460.6399999999794</v>
      </c>
      <c r="M43" s="57"/>
      <c r="N43" s="185">
        <f t="shared" si="2"/>
        <v>-142.56000000002041</v>
      </c>
      <c r="O43" s="186">
        <f t="shared" si="3"/>
        <v>-1.8750000000002685E-2</v>
      </c>
    </row>
    <row r="44" spans="2:15" x14ac:dyDescent="0.25">
      <c r="B44" s="49" t="s">
        <v>26</v>
      </c>
      <c r="C44" s="22"/>
      <c r="D44" s="23" t="s">
        <v>60</v>
      </c>
      <c r="E44" s="24"/>
      <c r="F44" s="177"/>
      <c r="G44" s="26">
        <v>0</v>
      </c>
      <c r="H44" s="27">
        <f t="shared" si="6"/>
        <v>0</v>
      </c>
      <c r="I44" s="28"/>
      <c r="J44" s="177"/>
      <c r="K44" s="26">
        <v>0</v>
      </c>
      <c r="L44" s="27">
        <f t="shared" si="7"/>
        <v>0</v>
      </c>
      <c r="M44" s="28"/>
      <c r="N44" s="31">
        <f t="shared" si="2"/>
        <v>0</v>
      </c>
      <c r="O44" s="32"/>
    </row>
    <row r="45" spans="2:15" ht="25.5" x14ac:dyDescent="0.25">
      <c r="B45" s="50" t="s">
        <v>27</v>
      </c>
      <c r="C45" s="51"/>
      <c r="D45" s="51"/>
      <c r="E45" s="51"/>
      <c r="F45" s="52"/>
      <c r="G45" s="53"/>
      <c r="H45" s="54">
        <f>SUM(H38:H44)+H37</f>
        <v>16513.8</v>
      </c>
      <c r="I45" s="41"/>
      <c r="J45" s="53"/>
      <c r="K45" s="55"/>
      <c r="L45" s="54">
        <f>SUM(L38:L44)+L37</f>
        <v>11113.54224720737</v>
      </c>
      <c r="M45" s="41"/>
      <c r="N45" s="44">
        <f t="shared" si="2"/>
        <v>-5400.2577527926296</v>
      </c>
      <c r="O45" s="45">
        <f t="shared" ref="O45:O63" si="8">IF((H45)=0,"",(N45/H45))</f>
        <v>-0.32701484532891462</v>
      </c>
    </row>
    <row r="46" spans="2:15" x14ac:dyDescent="0.25">
      <c r="B46" s="28" t="s">
        <v>28</v>
      </c>
      <c r="C46" s="28"/>
      <c r="D46" s="56" t="s">
        <v>70</v>
      </c>
      <c r="E46" s="57"/>
      <c r="F46" s="29">
        <v>2.8921000000000001</v>
      </c>
      <c r="G46" s="58">
        <f>H16*(1+F72)</f>
        <v>5240</v>
      </c>
      <c r="H46" s="27">
        <f>G46*F46</f>
        <v>15154.604000000001</v>
      </c>
      <c r="I46" s="28"/>
      <c r="J46" s="29">
        <f>'[5]13. Final 2015 RTS Rates'!$F$29</f>
        <v>2.9851768689754885</v>
      </c>
      <c r="K46" s="59">
        <f>H16*(1+J72)</f>
        <v>5235.5</v>
      </c>
      <c r="L46" s="27">
        <f>K46*J46</f>
        <v>15628.893497521171</v>
      </c>
      <c r="M46" s="28"/>
      <c r="N46" s="31">
        <f t="shared" si="2"/>
        <v>474.28949752116932</v>
      </c>
      <c r="O46" s="32">
        <f t="shared" si="8"/>
        <v>3.1296726560533637E-2</v>
      </c>
    </row>
    <row r="47" spans="2:15" x14ac:dyDescent="0.25">
      <c r="B47" s="60" t="s">
        <v>29</v>
      </c>
      <c r="C47" s="28"/>
      <c r="D47" s="56" t="s">
        <v>70</v>
      </c>
      <c r="E47" s="57"/>
      <c r="F47" s="29">
        <v>2.2395999999999998</v>
      </c>
      <c r="G47" s="58">
        <f>G46</f>
        <v>5240</v>
      </c>
      <c r="H47" s="27">
        <f>G47*F47</f>
        <v>11735.503999999999</v>
      </c>
      <c r="I47" s="28"/>
      <c r="J47" s="29">
        <f>'[5]13. Final 2015 RTS Rates'!$H$29</f>
        <v>2.2998272904958981</v>
      </c>
      <c r="K47" s="59">
        <f>K46</f>
        <v>5235.5</v>
      </c>
      <c r="L47" s="27">
        <f>K47*J47</f>
        <v>12040.745779391274</v>
      </c>
      <c r="M47" s="28"/>
      <c r="N47" s="31">
        <f t="shared" si="2"/>
        <v>305.24177939127549</v>
      </c>
      <c r="O47" s="32">
        <f t="shared" si="8"/>
        <v>2.6010112509124064E-2</v>
      </c>
    </row>
    <row r="48" spans="2:15" x14ac:dyDescent="0.25">
      <c r="B48" s="50" t="s">
        <v>30</v>
      </c>
      <c r="C48" s="36"/>
      <c r="D48" s="36"/>
      <c r="E48" s="36"/>
      <c r="F48" s="61"/>
      <c r="G48" s="53"/>
      <c r="H48" s="54">
        <f>SUM(H45:H47)</f>
        <v>43403.908000000003</v>
      </c>
      <c r="I48" s="62"/>
      <c r="J48" s="63"/>
      <c r="K48" s="64"/>
      <c r="L48" s="54">
        <f>SUM(L45:L47)</f>
        <v>38783.181524119813</v>
      </c>
      <c r="M48" s="62"/>
      <c r="N48" s="44">
        <f t="shared" si="2"/>
        <v>-4620.7264758801903</v>
      </c>
      <c r="O48" s="45">
        <f t="shared" si="8"/>
        <v>-0.10645876578395176</v>
      </c>
    </row>
    <row r="49" spans="2:19" x14ac:dyDescent="0.25">
      <c r="B49" s="65" t="s">
        <v>31</v>
      </c>
      <c r="C49" s="22"/>
      <c r="D49" s="23" t="s">
        <v>61</v>
      </c>
      <c r="E49" s="24"/>
      <c r="F49" s="66">
        <v>4.4000000000000003E-3</v>
      </c>
      <c r="G49" s="58">
        <f>F16*(F72)</f>
        <v>86400</v>
      </c>
      <c r="H49" s="67">
        <f t="shared" ref="H49:H55" si="9">G49*F49</f>
        <v>380.16</v>
      </c>
      <c r="I49" s="28"/>
      <c r="J49" s="66">
        <v>4.4000000000000003E-3</v>
      </c>
      <c r="K49" s="59">
        <f>F16*(J72)</f>
        <v>84780</v>
      </c>
      <c r="L49" s="67">
        <f t="shared" ref="L49:L55" si="10">K49*J49</f>
        <v>373.03200000000004</v>
      </c>
      <c r="M49" s="28"/>
      <c r="N49" s="31">
        <f t="shared" si="2"/>
        <v>-7.1279999999999859</v>
      </c>
      <c r="O49" s="68">
        <f t="shared" si="8"/>
        <v>-1.8749999999999961E-2</v>
      </c>
    </row>
    <row r="50" spans="2:19" x14ac:dyDescent="0.25">
      <c r="B50" s="65" t="s">
        <v>32</v>
      </c>
      <c r="C50" s="22"/>
      <c r="D50" s="23" t="s">
        <v>61</v>
      </c>
      <c r="E50" s="24"/>
      <c r="F50" s="66">
        <v>1.2999999999999999E-3</v>
      </c>
      <c r="G50" s="58">
        <f>G49</f>
        <v>86400</v>
      </c>
      <c r="H50" s="67">
        <f t="shared" si="9"/>
        <v>112.32</v>
      </c>
      <c r="I50" s="28"/>
      <c r="J50" s="66">
        <v>1.2999999999999999E-3</v>
      </c>
      <c r="K50" s="59">
        <f>K49</f>
        <v>84780</v>
      </c>
      <c r="L50" s="67">
        <f t="shared" si="10"/>
        <v>110.214</v>
      </c>
      <c r="M50" s="28"/>
      <c r="N50" s="31">
        <f t="shared" si="2"/>
        <v>-2.1059999999999945</v>
      </c>
      <c r="O50" s="68">
        <f t="shared" si="8"/>
        <v>-1.8749999999999954E-2</v>
      </c>
    </row>
    <row r="51" spans="2:19" x14ac:dyDescent="0.25">
      <c r="B51" s="22" t="s">
        <v>33</v>
      </c>
      <c r="C51" s="22"/>
      <c r="D51" s="23" t="s">
        <v>60</v>
      </c>
      <c r="E51" s="24"/>
      <c r="F51" s="176">
        <v>0.25</v>
      </c>
      <c r="G51" s="26">
        <v>1</v>
      </c>
      <c r="H51" s="67">
        <f t="shared" si="9"/>
        <v>0.25</v>
      </c>
      <c r="I51" s="28"/>
      <c r="J51" s="176">
        <v>0.25</v>
      </c>
      <c r="K51" s="30">
        <v>1</v>
      </c>
      <c r="L51" s="67">
        <f t="shared" si="10"/>
        <v>0.25</v>
      </c>
      <c r="M51" s="28"/>
      <c r="N51" s="31">
        <f t="shared" si="2"/>
        <v>0</v>
      </c>
      <c r="O51" s="68">
        <f t="shared" si="8"/>
        <v>0</v>
      </c>
    </row>
    <row r="52" spans="2:19" x14ac:dyDescent="0.25">
      <c r="B52" s="22" t="s">
        <v>34</v>
      </c>
      <c r="C52" s="22"/>
      <c r="D52" s="23" t="s">
        <v>61</v>
      </c>
      <c r="E52" s="24"/>
      <c r="F52" s="66">
        <v>7.0000000000000001E-3</v>
      </c>
      <c r="G52" s="69">
        <f>F16</f>
        <v>1800000</v>
      </c>
      <c r="H52" s="67">
        <f t="shared" si="9"/>
        <v>12600</v>
      </c>
      <c r="I52" s="28"/>
      <c r="J52" s="66">
        <v>7.0000000000000001E-3</v>
      </c>
      <c r="K52" s="70">
        <f>F16</f>
        <v>1800000</v>
      </c>
      <c r="L52" s="67">
        <f t="shared" si="10"/>
        <v>12600</v>
      </c>
      <c r="M52" s="28"/>
      <c r="N52" s="31">
        <f t="shared" si="2"/>
        <v>0</v>
      </c>
      <c r="O52" s="68">
        <f t="shared" si="8"/>
        <v>0</v>
      </c>
    </row>
    <row r="53" spans="2:19" ht="15.75" thickBot="1" x14ac:dyDescent="0.3">
      <c r="B53" s="49" t="s">
        <v>73</v>
      </c>
      <c r="C53" s="22"/>
      <c r="D53" s="23" t="s">
        <v>61</v>
      </c>
      <c r="E53" s="24"/>
      <c r="F53" s="66">
        <v>8.2699999999999996E-2</v>
      </c>
      <c r="G53" s="69">
        <f>F16</f>
        <v>1800000</v>
      </c>
      <c r="H53" s="187">
        <f t="shared" si="9"/>
        <v>148860</v>
      </c>
      <c r="I53" s="57"/>
      <c r="J53" s="66">
        <v>8.2699999999999996E-2</v>
      </c>
      <c r="K53" s="69">
        <f>G53</f>
        <v>1800000</v>
      </c>
      <c r="L53" s="67">
        <f t="shared" si="10"/>
        <v>148860</v>
      </c>
      <c r="M53" s="28"/>
      <c r="N53" s="31">
        <f t="shared" si="2"/>
        <v>0</v>
      </c>
      <c r="O53" s="68">
        <f t="shared" si="8"/>
        <v>0</v>
      </c>
      <c r="S53" s="72"/>
    </row>
    <row r="54" spans="2:19" ht="15.75" hidden="1" thickBot="1" x14ac:dyDescent="0.3">
      <c r="B54" s="49" t="s">
        <v>36</v>
      </c>
      <c r="C54" s="22"/>
      <c r="D54" s="23"/>
      <c r="E54" s="24"/>
      <c r="F54" s="71">
        <v>0.104</v>
      </c>
      <c r="G54" s="58">
        <v>0</v>
      </c>
      <c r="H54" s="67">
        <f t="shared" si="9"/>
        <v>0</v>
      </c>
      <c r="I54" s="28"/>
      <c r="J54" s="66">
        <v>0.104</v>
      </c>
      <c r="K54" s="58">
        <v>0</v>
      </c>
      <c r="L54" s="67">
        <f t="shared" si="10"/>
        <v>0</v>
      </c>
      <c r="M54" s="28"/>
      <c r="N54" s="31">
        <f t="shared" si="2"/>
        <v>0</v>
      </c>
      <c r="O54" s="68" t="str">
        <f t="shared" si="8"/>
        <v/>
      </c>
      <c r="S54" s="72"/>
    </row>
    <row r="55" spans="2:19" ht="15.75" hidden="1" thickBot="1" x14ac:dyDescent="0.3">
      <c r="B55" s="12" t="s">
        <v>37</v>
      </c>
      <c r="C55" s="22"/>
      <c r="D55" s="23"/>
      <c r="E55" s="24"/>
      <c r="F55" s="71">
        <v>0.124</v>
      </c>
      <c r="G55" s="58">
        <v>0</v>
      </c>
      <c r="H55" s="67">
        <f t="shared" si="9"/>
        <v>0</v>
      </c>
      <c r="I55" s="28"/>
      <c r="J55" s="66">
        <v>0.124</v>
      </c>
      <c r="K55" s="58">
        <v>0</v>
      </c>
      <c r="L55" s="67">
        <f t="shared" si="10"/>
        <v>0</v>
      </c>
      <c r="M55" s="28"/>
      <c r="N55" s="31">
        <f t="shared" si="2"/>
        <v>0</v>
      </c>
      <c r="O55" s="68" t="str">
        <f t="shared" si="8"/>
        <v/>
      </c>
      <c r="S55" s="72"/>
    </row>
    <row r="56" spans="2:19" s="73" customFormat="1" ht="15.75" hidden="1" thickBot="1" x14ac:dyDescent="0.25">
      <c r="B56" s="179" t="s">
        <v>38</v>
      </c>
      <c r="C56" s="75"/>
      <c r="D56" s="76"/>
      <c r="E56" s="77"/>
      <c r="F56" s="71">
        <v>7.4999999999999997E-2</v>
      </c>
      <c r="G56" s="78">
        <f>IF(AND($T$1=1, F16&gt;=600), 600, IF(AND($T$1=1, AND(F16&lt;600, F16&gt;=0)), F16, IF(AND($T$1=2, F16&gt;=1000), 1000, IF(AND($T$1=2, AND(F16&lt;1000, F16&gt;=0)), F16))))</f>
        <v>600</v>
      </c>
      <c r="H56" s="67">
        <f>G56*F56</f>
        <v>45</v>
      </c>
      <c r="I56" s="79"/>
      <c r="J56" s="66">
        <v>7.4999999999999997E-2</v>
      </c>
      <c r="K56" s="78">
        <f>G56</f>
        <v>600</v>
      </c>
      <c r="L56" s="67">
        <f>K56*J56</f>
        <v>45</v>
      </c>
      <c r="M56" s="79"/>
      <c r="N56" s="80">
        <f t="shared" si="2"/>
        <v>0</v>
      </c>
      <c r="O56" s="68">
        <f t="shared" si="8"/>
        <v>0</v>
      </c>
    </row>
    <row r="57" spans="2:19" s="73" customFormat="1" ht="15.75" hidden="1" thickBot="1" x14ac:dyDescent="0.25">
      <c r="B57" s="179" t="s">
        <v>39</v>
      </c>
      <c r="C57" s="75"/>
      <c r="D57" s="76"/>
      <c r="E57" s="77"/>
      <c r="F57" s="71">
        <v>8.7999999999999995E-2</v>
      </c>
      <c r="G57" s="78">
        <f>IF(AND($T$1=1, F16&gt;=600), F16-600, IF(AND($T$1=1, AND(F16&lt;600, F16&gt;=0)), 0, IF(AND($T$1=2, F16&gt;=1000), F16-1000, IF(AND($T$1=2, AND(F16&lt;1000, F16&gt;=0)), 0))))</f>
        <v>1799400</v>
      </c>
      <c r="H57" s="67">
        <f>G57*F57</f>
        <v>158347.19999999998</v>
      </c>
      <c r="I57" s="79"/>
      <c r="J57" s="66">
        <v>8.7999999999999995E-2</v>
      </c>
      <c r="K57" s="78">
        <f>G57</f>
        <v>1799400</v>
      </c>
      <c r="L57" s="67">
        <f>K57*J57</f>
        <v>158347.19999999998</v>
      </c>
      <c r="M57" s="79"/>
      <c r="N57" s="80">
        <f t="shared" si="2"/>
        <v>0</v>
      </c>
      <c r="O57" s="68">
        <f t="shared" si="8"/>
        <v>0</v>
      </c>
    </row>
    <row r="58" spans="2:19" ht="8.25" customHeight="1" thickBot="1" x14ac:dyDescent="0.3">
      <c r="B58" s="81"/>
      <c r="C58" s="82"/>
      <c r="D58" s="83"/>
      <c r="E58" s="82"/>
      <c r="F58" s="84"/>
      <c r="G58" s="85"/>
      <c r="H58" s="86"/>
      <c r="I58" s="87"/>
      <c r="J58" s="84"/>
      <c r="K58" s="88"/>
      <c r="L58" s="86"/>
      <c r="M58" s="87"/>
      <c r="N58" s="89"/>
      <c r="O58" s="90"/>
    </row>
    <row r="59" spans="2:19" ht="15.75" hidden="1" thickBot="1" x14ac:dyDescent="0.3">
      <c r="B59" s="91" t="s">
        <v>40</v>
      </c>
      <c r="C59" s="22"/>
      <c r="D59" s="22"/>
      <c r="E59" s="22"/>
      <c r="F59" s="92"/>
      <c r="G59" s="93"/>
      <c r="H59" s="94">
        <f>SUM(H49:H55,H48)</f>
        <v>205356.63800000001</v>
      </c>
      <c r="I59" s="95"/>
      <c r="J59" s="96"/>
      <c r="K59" s="96"/>
      <c r="L59" s="94">
        <f>SUM(L49:L55,L48)</f>
        <v>200726.67752411979</v>
      </c>
      <c r="M59" s="97"/>
      <c r="N59" s="98">
        <f>L59-H59</f>
        <v>-4629.9604758802161</v>
      </c>
      <c r="O59" s="99">
        <f>IF((H59)=0,"",(N59/H59))</f>
        <v>-2.2545949918990279E-2</v>
      </c>
      <c r="S59" s="72"/>
    </row>
    <row r="60" spans="2:19" ht="15.75" hidden="1" thickBot="1" x14ac:dyDescent="0.3">
      <c r="B60" s="100" t="s">
        <v>41</v>
      </c>
      <c r="C60" s="22"/>
      <c r="D60" s="22"/>
      <c r="E60" s="22"/>
      <c r="F60" s="101">
        <v>0.13</v>
      </c>
      <c r="G60" s="102"/>
      <c r="H60" s="103">
        <f>H59*F60</f>
        <v>26696.362940000003</v>
      </c>
      <c r="I60" s="104"/>
      <c r="J60" s="105">
        <v>0.13</v>
      </c>
      <c r="K60" s="104"/>
      <c r="L60" s="106">
        <f>L59*J60</f>
        <v>26094.468078135575</v>
      </c>
      <c r="M60" s="107"/>
      <c r="N60" s="108">
        <f t="shared" si="2"/>
        <v>-601.89486186442809</v>
      </c>
      <c r="O60" s="109">
        <f t="shared" si="8"/>
        <v>-2.2545949918990275E-2</v>
      </c>
      <c r="S60" s="72"/>
    </row>
    <row r="61" spans="2:19" ht="15.75" hidden="1" thickBot="1" x14ac:dyDescent="0.3">
      <c r="B61" s="110" t="s">
        <v>42</v>
      </c>
      <c r="C61" s="22"/>
      <c r="D61" s="22"/>
      <c r="E61" s="22"/>
      <c r="F61" s="111"/>
      <c r="G61" s="102"/>
      <c r="H61" s="103">
        <f>H59+H60</f>
        <v>232053.00094</v>
      </c>
      <c r="I61" s="104"/>
      <c r="J61" s="104"/>
      <c r="K61" s="104"/>
      <c r="L61" s="106">
        <f>L59+L60</f>
        <v>226821.14560225536</v>
      </c>
      <c r="M61" s="107"/>
      <c r="N61" s="108">
        <f t="shared" si="2"/>
        <v>-5231.8553377446369</v>
      </c>
      <c r="O61" s="109">
        <f t="shared" si="8"/>
        <v>-2.2545949918990248E-2</v>
      </c>
      <c r="S61" s="72"/>
    </row>
    <row r="62" spans="2:19" ht="15.75" hidden="1" customHeight="1" x14ac:dyDescent="0.3">
      <c r="B62" s="240" t="s">
        <v>43</v>
      </c>
      <c r="C62" s="240"/>
      <c r="D62" s="240"/>
      <c r="E62" s="22"/>
      <c r="F62" s="111"/>
      <c r="G62" s="102"/>
      <c r="H62" s="112">
        <f>ROUND(-H61*10%,2)</f>
        <v>-23205.3</v>
      </c>
      <c r="I62" s="104"/>
      <c r="J62" s="104"/>
      <c r="K62" s="104"/>
      <c r="L62" s="113">
        <f>ROUND(-L61*10%,2)</f>
        <v>-22682.11</v>
      </c>
      <c r="M62" s="107"/>
      <c r="N62" s="114">
        <f t="shared" si="2"/>
        <v>523.18999999999869</v>
      </c>
      <c r="O62" s="115">
        <f t="shared" si="8"/>
        <v>-2.2546142476072221E-2</v>
      </c>
    </row>
    <row r="63" spans="2:19" ht="15.75" hidden="1" thickBot="1" x14ac:dyDescent="0.3">
      <c r="B63" s="246" t="s">
        <v>44</v>
      </c>
      <c r="C63" s="246"/>
      <c r="D63" s="246"/>
      <c r="E63" s="116"/>
      <c r="F63" s="117"/>
      <c r="G63" s="118"/>
      <c r="H63" s="119">
        <f>H61+H62</f>
        <v>208847.70094000001</v>
      </c>
      <c r="I63" s="120"/>
      <c r="J63" s="120"/>
      <c r="K63" s="120"/>
      <c r="L63" s="121">
        <f>L61+L62</f>
        <v>204139.03560225538</v>
      </c>
      <c r="M63" s="122"/>
      <c r="N63" s="123">
        <f t="shared" si="2"/>
        <v>-4708.6653377446346</v>
      </c>
      <c r="O63" s="124">
        <f t="shared" si="8"/>
        <v>-2.2545928523758994E-2</v>
      </c>
    </row>
    <row r="64" spans="2:19" s="73" customFormat="1" ht="8.25" hidden="1" customHeight="1" x14ac:dyDescent="0.25">
      <c r="B64" s="125"/>
      <c r="C64" s="126"/>
      <c r="D64" s="127"/>
      <c r="E64" s="126"/>
      <c r="F64" s="84"/>
      <c r="G64" s="128"/>
      <c r="H64" s="86"/>
      <c r="I64" s="129"/>
      <c r="J64" s="84"/>
      <c r="K64" s="130"/>
      <c r="L64" s="86"/>
      <c r="M64" s="129"/>
      <c r="N64" s="131"/>
      <c r="O64" s="90"/>
    </row>
    <row r="65" spans="1:15" s="73" customFormat="1" ht="12.75" x14ac:dyDescent="0.2">
      <c r="B65" s="132" t="s">
        <v>45</v>
      </c>
      <c r="C65" s="75"/>
      <c r="D65" s="75"/>
      <c r="E65" s="75"/>
      <c r="F65" s="133"/>
      <c r="G65" s="134"/>
      <c r="H65" s="135">
        <f>SUM(H53,H48,H49:H52)</f>
        <v>205356.63800000001</v>
      </c>
      <c r="I65" s="136"/>
      <c r="J65" s="137"/>
      <c r="K65" s="137"/>
      <c r="L65" s="188">
        <f>SUM(L53,L48,L49:L52)</f>
        <v>200726.67752411982</v>
      </c>
      <c r="M65" s="138"/>
      <c r="N65" s="139">
        <f>L65-H65</f>
        <v>-4629.960475880187</v>
      </c>
      <c r="O65" s="99">
        <f>IF((H65)=0,"",(N65/H65))</f>
        <v>-2.2545949918990137E-2</v>
      </c>
    </row>
    <row r="66" spans="1:15" s="73" customFormat="1" ht="12.75" x14ac:dyDescent="0.2">
      <c r="B66" s="140" t="s">
        <v>41</v>
      </c>
      <c r="C66" s="75"/>
      <c r="D66" s="75"/>
      <c r="E66" s="75"/>
      <c r="F66" s="141">
        <v>0.13</v>
      </c>
      <c r="G66" s="134"/>
      <c r="H66" s="142">
        <f>H65*F66</f>
        <v>26696.362940000003</v>
      </c>
      <c r="I66" s="143"/>
      <c r="J66" s="144">
        <v>0.13</v>
      </c>
      <c r="K66" s="145"/>
      <c r="L66" s="146">
        <f>L65*J66</f>
        <v>26094.468078135578</v>
      </c>
      <c r="M66" s="147"/>
      <c r="N66" s="148">
        <f>L66-H66</f>
        <v>-601.89486186442446</v>
      </c>
      <c r="O66" s="109">
        <f>IF((H66)=0,"",(N66/H66))</f>
        <v>-2.254594991899014E-2</v>
      </c>
    </row>
    <row r="67" spans="1:15" s="73" customFormat="1" ht="12.75" x14ac:dyDescent="0.2">
      <c r="B67" s="149" t="s">
        <v>42</v>
      </c>
      <c r="C67" s="75"/>
      <c r="D67" s="75"/>
      <c r="E67" s="75"/>
      <c r="F67" s="150"/>
      <c r="G67" s="151"/>
      <c r="H67" s="142">
        <f>H65+H66</f>
        <v>232053.00094</v>
      </c>
      <c r="I67" s="143"/>
      <c r="J67" s="143"/>
      <c r="K67" s="143"/>
      <c r="L67" s="146">
        <f>L65+L66</f>
        <v>226821.14560225539</v>
      </c>
      <c r="M67" s="147"/>
      <c r="N67" s="148">
        <f>L67-H67</f>
        <v>-5231.8553377446078</v>
      </c>
      <c r="O67" s="109">
        <f>IF((H67)=0,"",(N67/H67))</f>
        <v>-2.2545949918990123E-2</v>
      </c>
    </row>
    <row r="68" spans="1:15" s="73" customFormat="1" ht="15.75" customHeight="1" x14ac:dyDescent="0.2">
      <c r="B68" s="241" t="s">
        <v>43</v>
      </c>
      <c r="C68" s="241"/>
      <c r="D68" s="241"/>
      <c r="E68" s="75"/>
      <c r="F68" s="150"/>
      <c r="G68" s="151"/>
      <c r="H68" s="152">
        <f>ROUND(-H67*10%,2)</f>
        <v>-23205.3</v>
      </c>
      <c r="I68" s="143"/>
      <c r="J68" s="143"/>
      <c r="K68" s="143"/>
      <c r="L68" s="153">
        <f>ROUND(-L67*10%,2)</f>
        <v>-22682.11</v>
      </c>
      <c r="M68" s="147"/>
      <c r="N68" s="154">
        <f>L68-H68</f>
        <v>523.18999999999869</v>
      </c>
      <c r="O68" s="115">
        <f>IF((H68)=0,"",(N68/H68))</f>
        <v>-2.2546142476072221E-2</v>
      </c>
    </row>
    <row r="69" spans="1:15" s="73" customFormat="1" ht="13.5" thickBot="1" x14ac:dyDescent="0.25">
      <c r="B69" s="233" t="s">
        <v>46</v>
      </c>
      <c r="C69" s="233"/>
      <c r="D69" s="233"/>
      <c r="E69" s="155"/>
      <c r="F69" s="156"/>
      <c r="G69" s="157"/>
      <c r="H69" s="158">
        <f>SUM(H67:H68)</f>
        <v>208847.70094000001</v>
      </c>
      <c r="I69" s="159"/>
      <c r="J69" s="159"/>
      <c r="K69" s="159"/>
      <c r="L69" s="160">
        <f>SUM(L67:L68)</f>
        <v>204139.03560225538</v>
      </c>
      <c r="M69" s="161"/>
      <c r="N69" s="162">
        <f>L69-H69</f>
        <v>-4708.6653377446346</v>
      </c>
      <c r="O69" s="163">
        <f>IF((H69)=0,"",(N69/H69))</f>
        <v>-2.2545928523758994E-2</v>
      </c>
    </row>
    <row r="70" spans="1:15" s="73" customFormat="1" ht="8.25" customHeight="1" thickBot="1" x14ac:dyDescent="0.25">
      <c r="B70" s="125"/>
      <c r="C70" s="126"/>
      <c r="D70" s="127"/>
      <c r="E70" s="126"/>
      <c r="F70" s="164"/>
      <c r="G70" s="165"/>
      <c r="H70" s="166"/>
      <c r="I70" s="167"/>
      <c r="J70" s="164"/>
      <c r="K70" s="128"/>
      <c r="L70" s="168"/>
      <c r="M70" s="129"/>
      <c r="N70" s="169"/>
      <c r="O70" s="90"/>
    </row>
    <row r="71" spans="1:15" ht="10.5" customHeight="1" x14ac:dyDescent="0.25">
      <c r="L71" s="72"/>
    </row>
    <row r="72" spans="1:15" x14ac:dyDescent="0.25">
      <c r="B72" s="13" t="s">
        <v>47</v>
      </c>
      <c r="F72" s="170">
        <v>4.8000000000000001E-2</v>
      </c>
      <c r="J72" s="170">
        <f>'Res (100kWh)'!$J$74</f>
        <v>4.7100000000000003E-2</v>
      </c>
    </row>
    <row r="73" spans="1:15" ht="10.5" customHeight="1" x14ac:dyDescent="0.25"/>
    <row r="74" spans="1:15" x14ac:dyDescent="0.25">
      <c r="A74" s="171" t="s">
        <v>48</v>
      </c>
    </row>
    <row r="75" spans="1:15" ht="10.5" customHeight="1" x14ac:dyDescent="0.25"/>
    <row r="76" spans="1:15" x14ac:dyDescent="0.25">
      <c r="A76" s="7" t="s">
        <v>49</v>
      </c>
    </row>
    <row r="77" spans="1:15" x14ac:dyDescent="0.25">
      <c r="A77" s="7" t="s">
        <v>50</v>
      </c>
    </row>
    <row r="79" spans="1:15" x14ac:dyDescent="0.25">
      <c r="A79" s="12" t="s">
        <v>51</v>
      </c>
    </row>
    <row r="80" spans="1:15" x14ac:dyDescent="0.25">
      <c r="A80" s="12" t="s">
        <v>52</v>
      </c>
    </row>
    <row r="82" spans="1:2" x14ac:dyDescent="0.25">
      <c r="A82" s="7" t="s">
        <v>53</v>
      </c>
    </row>
    <row r="83" spans="1:2" x14ac:dyDescent="0.25">
      <c r="A83" s="7" t="s">
        <v>54</v>
      </c>
    </row>
    <row r="84" spans="1:2" x14ac:dyDescent="0.25">
      <c r="A84" s="7" t="s">
        <v>55</v>
      </c>
    </row>
    <row r="85" spans="1:2" x14ac:dyDescent="0.25">
      <c r="A85" s="7" t="s">
        <v>56</v>
      </c>
    </row>
    <row r="86" spans="1:2" x14ac:dyDescent="0.25">
      <c r="A86" s="7" t="s">
        <v>57</v>
      </c>
    </row>
    <row r="88" spans="1:2" x14ac:dyDescent="0.25">
      <c r="A88" s="172"/>
      <c r="B88" s="7" t="s">
        <v>58</v>
      </c>
    </row>
  </sheetData>
  <mergeCells count="17">
    <mergeCell ref="B62:D62"/>
    <mergeCell ref="B63:D63"/>
    <mergeCell ref="B68:D68"/>
    <mergeCell ref="B69:D69"/>
    <mergeCell ref="D12:O12"/>
    <mergeCell ref="F18:H18"/>
    <mergeCell ref="J18:L18"/>
    <mergeCell ref="N18:O18"/>
    <mergeCell ref="D19:D20"/>
    <mergeCell ref="N19:N20"/>
    <mergeCell ref="O19:O20"/>
    <mergeCell ref="B9:O9"/>
    <mergeCell ref="N1:O1"/>
    <mergeCell ref="N2:O2"/>
    <mergeCell ref="N3:O3"/>
    <mergeCell ref="N5:O5"/>
    <mergeCell ref="B8:O8"/>
  </mergeCells>
  <dataValidations count="3">
    <dataValidation type="list" allowBlank="1" showInputMessage="1" showErrorMessage="1" sqref="D14">
      <formula1>"TOU, non-TOU"</formula1>
    </dataValidation>
    <dataValidation type="list" allowBlank="1" showInputMessage="1" showErrorMessage="1" sqref="E70 E64 E46:E47 E38:E44 E49:E58 E21:E36">
      <formula1>#REF!</formula1>
    </dataValidation>
    <dataValidation type="list" allowBlank="1" showInputMessage="1" showErrorMessage="1" prompt="Select Charge Unit - monthly, per kWh, per kW" sqref="D46:D47 D38:D44 D64 D49:D58 D70 D21:D36">
      <formula1>"Monthly, per kWh, per kW"</formula1>
    </dataValidation>
  </dataValidations>
  <pageMargins left="0.7" right="0.7" top="0.75" bottom="0.75" header="0.3" footer="0.3"/>
  <pageSetup scale="58" fitToHeight="0" orientation="portrait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9">
    <tabColor theme="0" tint="-0.14999847407452621"/>
    <pageSetUpPr fitToPage="1"/>
  </sheetPr>
  <dimension ref="A1:T89"/>
  <sheetViews>
    <sheetView showGridLines="0" workbookViewId="0">
      <selection activeCell="L1" sqref="L1:O5"/>
    </sheetView>
  </sheetViews>
  <sheetFormatPr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9" style="7" bestFit="1" customWidth="1"/>
    <col min="8" max="8" width="14.28515625" style="7" bestFit="1" customWidth="1"/>
    <col min="9" max="9" width="2.85546875" style="7" customWidth="1"/>
    <col min="10" max="10" width="12.140625" style="7" customWidth="1"/>
    <col min="11" max="11" width="9" style="7" bestFit="1" customWidth="1"/>
    <col min="12" max="12" width="14.28515625" style="7" bestFit="1" customWidth="1"/>
    <col min="13" max="13" width="2.85546875" style="7" customWidth="1"/>
    <col min="14" max="14" width="12.7109375" style="7" bestFit="1" customWidth="1"/>
    <col min="15" max="15" width="10.85546875" style="7" bestFit="1" customWidth="1"/>
    <col min="16" max="16" width="3.8554687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248" t="str">
        <f>'Res (100kWh)'!$N$1:$O$1</f>
        <v>EB-2014-0099</v>
      </c>
      <c r="O1" s="248"/>
      <c r="P1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94</v>
      </c>
      <c r="N2" s="249">
        <f>'Res (100kWh)'!$N$2:$O$2</f>
        <v>8</v>
      </c>
      <c r="O2" s="249"/>
      <c r="P2"/>
    </row>
    <row r="3" spans="1:20" s="2" customFormat="1" ht="15" customHeight="1" x14ac:dyDescent="0.25">
      <c r="C3" s="6"/>
      <c r="D3" s="6"/>
      <c r="E3" s="6"/>
      <c r="L3" s="3" t="s">
        <v>95</v>
      </c>
      <c r="N3" s="248" t="str">
        <f>'Res (100kWh)'!$N$3:$O$3</f>
        <v>8-B</v>
      </c>
      <c r="O3" s="248"/>
      <c r="P3"/>
    </row>
    <row r="4" spans="1:20" s="2" customFormat="1" ht="9" customHeight="1" x14ac:dyDescent="0.25">
      <c r="L4" s="3"/>
      <c r="N4" s="232"/>
      <c r="O4"/>
      <c r="P4"/>
    </row>
    <row r="5" spans="1:20" s="2" customFormat="1" x14ac:dyDescent="0.25">
      <c r="L5" s="3" t="s">
        <v>75</v>
      </c>
      <c r="N5" s="248">
        <f>'Res (100kWh)'!$N$5:$O$5</f>
        <v>42118</v>
      </c>
      <c r="O5" s="248"/>
      <c r="P5"/>
    </row>
    <row r="6" spans="1:20" s="2" customFormat="1" ht="15" customHeight="1" x14ac:dyDescent="0.25">
      <c r="N6" s="7"/>
      <c r="O6"/>
      <c r="P6"/>
    </row>
    <row r="7" spans="1:20" ht="7.5" customHeight="1" x14ac:dyDescent="0.25">
      <c r="L7"/>
      <c r="M7"/>
      <c r="N7"/>
      <c r="O7"/>
      <c r="P7"/>
    </row>
    <row r="8" spans="1:20" ht="18.75" customHeight="1" x14ac:dyDescent="0.25">
      <c r="B8" s="247" t="s">
        <v>1</v>
      </c>
      <c r="C8" s="247"/>
      <c r="D8" s="247"/>
      <c r="E8" s="247"/>
      <c r="F8" s="247"/>
      <c r="G8" s="247"/>
      <c r="H8" s="247"/>
      <c r="I8" s="247"/>
      <c r="J8" s="247"/>
      <c r="K8" s="247"/>
      <c r="L8" s="247"/>
      <c r="M8" s="247"/>
      <c r="N8" s="247"/>
      <c r="O8" s="247"/>
      <c r="P8"/>
    </row>
    <row r="9" spans="1:20" ht="18.75" customHeight="1" x14ac:dyDescent="0.25">
      <c r="B9" s="247" t="s">
        <v>2</v>
      </c>
      <c r="C9" s="247"/>
      <c r="D9" s="247"/>
      <c r="E9" s="247"/>
      <c r="F9" s="247"/>
      <c r="G9" s="247"/>
      <c r="H9" s="247"/>
      <c r="I9" s="247"/>
      <c r="J9" s="247"/>
      <c r="K9" s="247"/>
      <c r="L9" s="247"/>
      <c r="M9" s="247"/>
      <c r="N9" s="247"/>
      <c r="O9" s="247"/>
      <c r="P9"/>
    </row>
    <row r="10" spans="1:20" ht="7.5" customHeight="1" x14ac:dyDescent="0.25">
      <c r="L10"/>
      <c r="M10"/>
      <c r="N10"/>
      <c r="O10"/>
      <c r="P10"/>
    </row>
    <row r="11" spans="1:20" ht="7.5" customHeight="1" x14ac:dyDescent="0.25">
      <c r="L11"/>
      <c r="M11"/>
      <c r="N11"/>
      <c r="O11"/>
      <c r="P11"/>
    </row>
    <row r="12" spans="1:20" ht="15.75" x14ac:dyDescent="0.25">
      <c r="B12" s="8" t="s">
        <v>3</v>
      </c>
      <c r="D12" s="242" t="s">
        <v>71</v>
      </c>
      <c r="E12" s="242"/>
      <c r="F12" s="242"/>
      <c r="G12" s="242"/>
      <c r="H12" s="242"/>
      <c r="I12" s="242"/>
      <c r="J12" s="242"/>
      <c r="K12" s="242"/>
      <c r="L12" s="242"/>
      <c r="M12" s="242"/>
      <c r="N12" s="242"/>
      <c r="O12" s="242"/>
    </row>
    <row r="13" spans="1:20" ht="7.5" customHeight="1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68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x14ac:dyDescent="0.25">
      <c r="B16" s="12"/>
      <c r="D16" s="13" t="s">
        <v>6</v>
      </c>
      <c r="E16" s="13"/>
      <c r="F16" s="14">
        <v>150</v>
      </c>
      <c r="G16" s="13" t="s">
        <v>7</v>
      </c>
      <c r="H16" s="14">
        <v>1</v>
      </c>
      <c r="I16" s="13" t="s">
        <v>69</v>
      </c>
    </row>
    <row r="17" spans="2:15" x14ac:dyDescent="0.25">
      <c r="B17" s="12"/>
    </row>
    <row r="18" spans="2:15" x14ac:dyDescent="0.25">
      <c r="B18" s="12"/>
      <c r="D18" s="15"/>
      <c r="E18" s="15"/>
      <c r="F18" s="243" t="s">
        <v>8</v>
      </c>
      <c r="G18" s="244"/>
      <c r="H18" s="245"/>
      <c r="J18" s="243" t="s">
        <v>9</v>
      </c>
      <c r="K18" s="244"/>
      <c r="L18" s="245"/>
      <c r="N18" s="243" t="s">
        <v>10</v>
      </c>
      <c r="O18" s="245"/>
    </row>
    <row r="19" spans="2:15" x14ac:dyDescent="0.25">
      <c r="B19" s="12"/>
      <c r="D19" s="234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236" t="s">
        <v>15</v>
      </c>
      <c r="O19" s="238" t="s">
        <v>16</v>
      </c>
    </row>
    <row r="20" spans="2:15" x14ac:dyDescent="0.25">
      <c r="B20" s="12"/>
      <c r="D20" s="235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237"/>
      <c r="O20" s="239"/>
    </row>
    <row r="21" spans="2:15" ht="22.5" customHeight="1" x14ac:dyDescent="0.25">
      <c r="B21" s="22" t="s">
        <v>18</v>
      </c>
      <c r="C21" s="22"/>
      <c r="D21" s="23" t="s">
        <v>60</v>
      </c>
      <c r="E21" s="24"/>
      <c r="F21" s="174">
        <f>'[2]2014 Existing Rates'!$B$10</f>
        <v>4.88</v>
      </c>
      <c r="G21" s="26">
        <v>1</v>
      </c>
      <c r="H21" s="27">
        <f>G21*F21</f>
        <v>4.88</v>
      </c>
      <c r="I21" s="28"/>
      <c r="J21" s="173">
        <f>'[2]Rate Schedule '!$E$34</f>
        <v>5.2</v>
      </c>
      <c r="K21" s="30">
        <v>1</v>
      </c>
      <c r="L21" s="27">
        <f>K21*J21</f>
        <v>5.2</v>
      </c>
      <c r="M21" s="28"/>
      <c r="N21" s="31">
        <f>L21-H21</f>
        <v>0.32000000000000028</v>
      </c>
      <c r="O21" s="32">
        <f>IF((H21)=0,"",(N21/H21))</f>
        <v>6.5573770491803338E-2</v>
      </c>
    </row>
    <row r="22" spans="2:15" ht="36.75" customHeight="1" x14ac:dyDescent="0.25">
      <c r="B22" s="65" t="s">
        <v>62</v>
      </c>
      <c r="C22" s="22"/>
      <c r="D22" s="56" t="s">
        <v>60</v>
      </c>
      <c r="E22" s="24"/>
      <c r="F22" s="173"/>
      <c r="G22" s="26">
        <v>1</v>
      </c>
      <c r="H22" s="27">
        <f t="shared" ref="H22:H37" si="0">G22*F22</f>
        <v>0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0</v>
      </c>
      <c r="O22" s="32" t="str">
        <f>IF((H22)=0,"",(N22/H22))</f>
        <v/>
      </c>
    </row>
    <row r="23" spans="2:15" hidden="1" x14ac:dyDescent="0.25">
      <c r="B23" s="175"/>
      <c r="C23" s="22"/>
      <c r="D23" s="56" t="s">
        <v>60</v>
      </c>
      <c r="E23" s="57"/>
      <c r="F23" s="173"/>
      <c r="G23" s="26">
        <v>1</v>
      </c>
      <c r="H23" s="27">
        <f t="shared" si="0"/>
        <v>0</v>
      </c>
      <c r="I23" s="28"/>
      <c r="J23" s="29"/>
      <c r="K23" s="30">
        <v>1</v>
      </c>
      <c r="L23" s="27">
        <f t="shared" ref="L23:L37" si="1">K23*J23</f>
        <v>0</v>
      </c>
      <c r="M23" s="28"/>
      <c r="N23" s="31">
        <f t="shared" ref="N23:N38" si="2">L23-H23</f>
        <v>0</v>
      </c>
      <c r="O23" s="32" t="str">
        <f t="shared" ref="O23:O38" si="3">IF((H23)=0,"",(N23/H23))</f>
        <v/>
      </c>
    </row>
    <row r="24" spans="2:15" hidden="1" x14ac:dyDescent="0.25">
      <c r="B24" s="175"/>
      <c r="C24" s="22"/>
      <c r="D24" s="56" t="s">
        <v>60</v>
      </c>
      <c r="E24" s="24"/>
      <c r="F24" s="25"/>
      <c r="G24" s="26">
        <v>1</v>
      </c>
      <c r="H24" s="27">
        <f t="shared" si="0"/>
        <v>0</v>
      </c>
      <c r="I24" s="28"/>
      <c r="J24" s="173"/>
      <c r="K24" s="30">
        <v>1</v>
      </c>
      <c r="L24" s="27">
        <f t="shared" si="1"/>
        <v>0</v>
      </c>
      <c r="M24" s="28"/>
      <c r="N24" s="31">
        <f t="shared" si="2"/>
        <v>0</v>
      </c>
      <c r="O24" s="32" t="str">
        <f t="shared" si="3"/>
        <v/>
      </c>
    </row>
    <row r="25" spans="2:15" x14ac:dyDescent="0.25">
      <c r="B25" s="175" t="s">
        <v>88</v>
      </c>
      <c r="C25" s="22"/>
      <c r="D25" s="23" t="s">
        <v>70</v>
      </c>
      <c r="E25" s="24"/>
      <c r="F25" s="25"/>
      <c r="G25" s="178">
        <f>$H$16</f>
        <v>1</v>
      </c>
      <c r="H25" s="27">
        <f t="shared" si="0"/>
        <v>0</v>
      </c>
      <c r="I25" s="28"/>
      <c r="J25" s="29">
        <f>'[4]6. Rate Rider Calculations'!$F$109</f>
        <v>13.032701418722425</v>
      </c>
      <c r="K25" s="178">
        <f>$H$16</f>
        <v>1</v>
      </c>
      <c r="L25" s="27">
        <f t="shared" si="1"/>
        <v>13.032701418722425</v>
      </c>
      <c r="M25" s="28"/>
      <c r="N25" s="31">
        <f t="shared" si="2"/>
        <v>13.032701418722425</v>
      </c>
      <c r="O25" s="32" t="str">
        <f t="shared" si="3"/>
        <v/>
      </c>
    </row>
    <row r="26" spans="2:15" x14ac:dyDescent="0.25">
      <c r="B26" s="46" t="s">
        <v>65</v>
      </c>
      <c r="C26" s="22"/>
      <c r="D26" s="23" t="s">
        <v>70</v>
      </c>
      <c r="E26" s="24"/>
      <c r="F26" s="25">
        <v>-0.45660000000000001</v>
      </c>
      <c r="G26" s="178">
        <f>$H$16</f>
        <v>1</v>
      </c>
      <c r="H26" s="27">
        <f t="shared" si="0"/>
        <v>-0.45660000000000001</v>
      </c>
      <c r="I26" s="28"/>
      <c r="J26" s="29"/>
      <c r="K26" s="178">
        <f>$H$16</f>
        <v>1</v>
      </c>
      <c r="L26" s="27">
        <f t="shared" si="1"/>
        <v>0</v>
      </c>
      <c r="M26" s="28"/>
      <c r="N26" s="31">
        <f t="shared" si="2"/>
        <v>0.45660000000000001</v>
      </c>
      <c r="O26" s="32">
        <f t="shared" si="3"/>
        <v>-1</v>
      </c>
    </row>
    <row r="27" spans="2:15" x14ac:dyDescent="0.25">
      <c r="B27" s="46" t="s">
        <v>66</v>
      </c>
      <c r="C27" s="22"/>
      <c r="D27" s="23" t="s">
        <v>70</v>
      </c>
      <c r="E27" s="24"/>
      <c r="F27" s="25"/>
      <c r="G27" s="178">
        <f>$H$16</f>
        <v>1</v>
      </c>
      <c r="H27" s="27">
        <f t="shared" si="0"/>
        <v>0</v>
      </c>
      <c r="I27" s="28"/>
      <c r="J27" s="29">
        <f>'[4]6. Rate Rider Calculations'!$F$81</f>
        <v>-2.5413684858613026</v>
      </c>
      <c r="K27" s="178">
        <f>$H$16</f>
        <v>1</v>
      </c>
      <c r="L27" s="27">
        <f t="shared" si="1"/>
        <v>-2.5413684858613026</v>
      </c>
      <c r="M27" s="28"/>
      <c r="N27" s="31">
        <f t="shared" si="2"/>
        <v>-2.5413684858613026</v>
      </c>
      <c r="O27" s="32" t="str">
        <f t="shared" si="3"/>
        <v/>
      </c>
    </row>
    <row r="28" spans="2:15" x14ac:dyDescent="0.25">
      <c r="B28" s="22" t="s">
        <v>19</v>
      </c>
      <c r="C28" s="22"/>
      <c r="D28" s="23" t="s">
        <v>70</v>
      </c>
      <c r="E28" s="24"/>
      <c r="F28" s="25">
        <f>'[2]2014 Existing Rates'!$D$10</f>
        <v>26.125499999999999</v>
      </c>
      <c r="G28" s="178">
        <f>$H$16</f>
        <v>1</v>
      </c>
      <c r="H28" s="27">
        <f t="shared" si="0"/>
        <v>26.125499999999999</v>
      </c>
      <c r="I28" s="28"/>
      <c r="J28" s="29">
        <f>'[2]Rate Schedule '!$E$35</f>
        <v>27.833600000000001</v>
      </c>
      <c r="K28" s="178">
        <f>$H$16</f>
        <v>1</v>
      </c>
      <c r="L28" s="27">
        <f t="shared" si="1"/>
        <v>27.833600000000001</v>
      </c>
      <c r="M28" s="28"/>
      <c r="N28" s="31">
        <f t="shared" si="2"/>
        <v>1.7081000000000017</v>
      </c>
      <c r="O28" s="32">
        <f t="shared" si="3"/>
        <v>6.5380566879102861E-2</v>
      </c>
    </row>
    <row r="29" spans="2:15" hidden="1" x14ac:dyDescent="0.25">
      <c r="B29" s="22" t="s">
        <v>20</v>
      </c>
      <c r="C29" s="22"/>
      <c r="D29" s="23"/>
      <c r="E29" s="24"/>
      <c r="F29" s="25"/>
      <c r="G29" s="26">
        <f>$F$16</f>
        <v>150</v>
      </c>
      <c r="H29" s="27">
        <f t="shared" si="0"/>
        <v>0</v>
      </c>
      <c r="I29" s="28"/>
      <c r="J29" s="29"/>
      <c r="K29" s="26">
        <f t="shared" ref="K29:K37" si="4">$F$16</f>
        <v>150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idden="1" x14ac:dyDescent="0.25">
      <c r="B30" s="22" t="s">
        <v>21</v>
      </c>
      <c r="C30" s="22"/>
      <c r="D30" s="23"/>
      <c r="E30" s="24"/>
      <c r="F30" s="25"/>
      <c r="G30" s="26">
        <f>$F$16</f>
        <v>150</v>
      </c>
      <c r="H30" s="27">
        <f t="shared" si="0"/>
        <v>0</v>
      </c>
      <c r="I30" s="28"/>
      <c r="J30" s="29"/>
      <c r="K30" s="26">
        <f t="shared" si="4"/>
        <v>150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idden="1" x14ac:dyDescent="0.25">
      <c r="B31" s="33"/>
      <c r="C31" s="22"/>
      <c r="D31" s="23"/>
      <c r="E31" s="24"/>
      <c r="F31" s="25"/>
      <c r="G31" s="26">
        <f t="shared" ref="G31:G37" si="5">$F$16</f>
        <v>150</v>
      </c>
      <c r="H31" s="27">
        <f t="shared" si="0"/>
        <v>0</v>
      </c>
      <c r="I31" s="28"/>
      <c r="J31" s="29"/>
      <c r="K31" s="26">
        <f t="shared" si="4"/>
        <v>150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idden="1" x14ac:dyDescent="0.25">
      <c r="B32" s="33"/>
      <c r="C32" s="22"/>
      <c r="D32" s="23"/>
      <c r="E32" s="24"/>
      <c r="F32" s="25"/>
      <c r="G32" s="26">
        <f t="shared" si="5"/>
        <v>150</v>
      </c>
      <c r="H32" s="27">
        <f t="shared" si="0"/>
        <v>0</v>
      </c>
      <c r="I32" s="28"/>
      <c r="J32" s="29"/>
      <c r="K32" s="26">
        <f t="shared" si="4"/>
        <v>150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idden="1" x14ac:dyDescent="0.25">
      <c r="B33" s="33"/>
      <c r="C33" s="22"/>
      <c r="D33" s="23"/>
      <c r="E33" s="24"/>
      <c r="F33" s="25"/>
      <c r="G33" s="26">
        <f t="shared" si="5"/>
        <v>150</v>
      </c>
      <c r="H33" s="27">
        <f t="shared" si="0"/>
        <v>0</v>
      </c>
      <c r="I33" s="28"/>
      <c r="J33" s="29"/>
      <c r="K33" s="26">
        <f t="shared" si="4"/>
        <v>150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idden="1" x14ac:dyDescent="0.25">
      <c r="B34" s="33"/>
      <c r="C34" s="22"/>
      <c r="D34" s="23"/>
      <c r="E34" s="24"/>
      <c r="F34" s="25"/>
      <c r="G34" s="26">
        <f t="shared" si="5"/>
        <v>150</v>
      </c>
      <c r="H34" s="27">
        <f t="shared" si="0"/>
        <v>0</v>
      </c>
      <c r="I34" s="28"/>
      <c r="J34" s="29"/>
      <c r="K34" s="26">
        <f t="shared" si="4"/>
        <v>150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idden="1" x14ac:dyDescent="0.25">
      <c r="B35" s="33"/>
      <c r="C35" s="22"/>
      <c r="D35" s="23"/>
      <c r="E35" s="24"/>
      <c r="F35" s="25"/>
      <c r="G35" s="26">
        <f t="shared" si="5"/>
        <v>150</v>
      </c>
      <c r="H35" s="27">
        <f t="shared" si="0"/>
        <v>0</v>
      </c>
      <c r="I35" s="28"/>
      <c r="J35" s="29"/>
      <c r="K35" s="26">
        <f t="shared" si="4"/>
        <v>150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idden="1" x14ac:dyDescent="0.25">
      <c r="B36" s="33"/>
      <c r="C36" s="22"/>
      <c r="D36" s="23"/>
      <c r="E36" s="24"/>
      <c r="F36" s="25"/>
      <c r="G36" s="26">
        <f t="shared" si="5"/>
        <v>150</v>
      </c>
      <c r="H36" s="27">
        <f t="shared" si="0"/>
        <v>0</v>
      </c>
      <c r="I36" s="28"/>
      <c r="J36" s="29"/>
      <c r="K36" s="26">
        <f t="shared" si="4"/>
        <v>150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hidden="1" x14ac:dyDescent="0.25">
      <c r="B37" s="33"/>
      <c r="C37" s="22"/>
      <c r="D37" s="23"/>
      <c r="E37" s="24"/>
      <c r="F37" s="25"/>
      <c r="G37" s="26">
        <f t="shared" si="5"/>
        <v>150</v>
      </c>
      <c r="H37" s="27">
        <f t="shared" si="0"/>
        <v>0</v>
      </c>
      <c r="I37" s="28"/>
      <c r="J37" s="29"/>
      <c r="K37" s="26">
        <f t="shared" si="4"/>
        <v>150</v>
      </c>
      <c r="L37" s="27">
        <f t="shared" si="1"/>
        <v>0</v>
      </c>
      <c r="M37" s="28"/>
      <c r="N37" s="31">
        <f t="shared" si="2"/>
        <v>0</v>
      </c>
      <c r="O37" s="32" t="str">
        <f t="shared" si="3"/>
        <v/>
      </c>
    </row>
    <row r="38" spans="2:15" s="34" customFormat="1" x14ac:dyDescent="0.25">
      <c r="B38" s="35" t="s">
        <v>22</v>
      </c>
      <c r="C38" s="36"/>
      <c r="D38" s="37"/>
      <c r="E38" s="36"/>
      <c r="F38" s="38"/>
      <c r="G38" s="39"/>
      <c r="H38" s="40">
        <f>SUM(H21:H37)</f>
        <v>30.5489</v>
      </c>
      <c r="I38" s="41"/>
      <c r="J38" s="42"/>
      <c r="K38" s="43"/>
      <c r="L38" s="40">
        <f>SUM(L21:L37)</f>
        <v>43.52493293286112</v>
      </c>
      <c r="M38" s="41"/>
      <c r="N38" s="44">
        <f t="shared" si="2"/>
        <v>12.97603293286112</v>
      </c>
      <c r="O38" s="45">
        <f t="shared" si="3"/>
        <v>0.42476268974860371</v>
      </c>
    </row>
    <row r="39" spans="2:15" x14ac:dyDescent="0.25">
      <c r="B39" s="46" t="s">
        <v>23</v>
      </c>
      <c r="C39" s="22"/>
      <c r="D39" s="56" t="s">
        <v>70</v>
      </c>
      <c r="E39" s="57"/>
      <c r="F39" s="29">
        <v>-0.62739999999999996</v>
      </c>
      <c r="G39" s="178">
        <f>G28</f>
        <v>1</v>
      </c>
      <c r="H39" s="27">
        <f t="shared" ref="H39:H45" si="6">G39*F39</f>
        <v>-0.62739999999999996</v>
      </c>
      <c r="I39" s="28"/>
      <c r="J39" s="29">
        <f>'[4]6. Rate Rider Calculations'!$F$26</f>
        <v>-12.191685098070534</v>
      </c>
      <c r="K39" s="178">
        <f>H16</f>
        <v>1</v>
      </c>
      <c r="L39" s="27">
        <f t="shared" ref="L39:L45" si="7">K39*J39</f>
        <v>-12.191685098070534</v>
      </c>
      <c r="M39" s="28"/>
      <c r="N39" s="31">
        <f t="shared" ref="N39:N45" si="8">L39-H39</f>
        <v>-11.564285098070535</v>
      </c>
      <c r="O39" s="32">
        <f t="shared" ref="O39:O44" si="9">IF((H39)=0,"",(N39/H39))</f>
        <v>18.432076981304647</v>
      </c>
    </row>
    <row r="40" spans="2:15" hidden="1" x14ac:dyDescent="0.25">
      <c r="B40" s="46"/>
      <c r="C40" s="22"/>
      <c r="D40" s="23" t="s">
        <v>70</v>
      </c>
      <c r="E40" s="24"/>
      <c r="F40" s="25"/>
      <c r="G40" s="178">
        <f>H16</f>
        <v>1</v>
      </c>
      <c r="H40" s="27">
        <f t="shared" si="6"/>
        <v>0</v>
      </c>
      <c r="I40" s="47"/>
      <c r="J40" s="29"/>
      <c r="K40" s="178">
        <f>H16</f>
        <v>1</v>
      </c>
      <c r="L40" s="27">
        <f t="shared" si="7"/>
        <v>0</v>
      </c>
      <c r="M40" s="48"/>
      <c r="N40" s="31">
        <f t="shared" si="8"/>
        <v>0</v>
      </c>
      <c r="O40" s="32" t="str">
        <f t="shared" si="9"/>
        <v/>
      </c>
    </row>
    <row r="41" spans="2:15" hidden="1" x14ac:dyDescent="0.25">
      <c r="B41" s="46"/>
      <c r="C41" s="22"/>
      <c r="D41" s="23" t="s">
        <v>70</v>
      </c>
      <c r="E41" s="24"/>
      <c r="F41" s="25"/>
      <c r="G41" s="178">
        <f>H16</f>
        <v>1</v>
      </c>
      <c r="H41" s="27">
        <f t="shared" si="6"/>
        <v>0</v>
      </c>
      <c r="I41" s="47"/>
      <c r="J41" s="29"/>
      <c r="K41" s="178">
        <f>H16</f>
        <v>1</v>
      </c>
      <c r="L41" s="27">
        <f t="shared" si="7"/>
        <v>0</v>
      </c>
      <c r="M41" s="48"/>
      <c r="N41" s="31">
        <f t="shared" si="8"/>
        <v>0</v>
      </c>
      <c r="O41" s="32" t="str">
        <f t="shared" si="9"/>
        <v/>
      </c>
    </row>
    <row r="42" spans="2:15" ht="30" customHeight="1" x14ac:dyDescent="0.25">
      <c r="B42" s="46" t="s">
        <v>74</v>
      </c>
      <c r="C42" s="22"/>
      <c r="D42" s="23" t="s">
        <v>70</v>
      </c>
      <c r="E42" s="24"/>
      <c r="F42" s="29">
        <v>0.28560000000000002</v>
      </c>
      <c r="G42" s="178">
        <f>H16</f>
        <v>1</v>
      </c>
      <c r="H42" s="27">
        <f t="shared" si="6"/>
        <v>0.28560000000000002</v>
      </c>
      <c r="I42" s="47"/>
      <c r="J42" s="29">
        <f>'[4]6. Rate Rider Calculations'!$F$53</f>
        <v>0.63712650613788802</v>
      </c>
      <c r="K42" s="178">
        <f>H16</f>
        <v>1</v>
      </c>
      <c r="L42" s="27">
        <f t="shared" si="7"/>
        <v>0.63712650613788802</v>
      </c>
      <c r="M42" s="48"/>
      <c r="N42" s="31">
        <f t="shared" si="8"/>
        <v>0.351526506137888</v>
      </c>
      <c r="O42" s="32">
        <f t="shared" si="9"/>
        <v>1.2308351055248179</v>
      </c>
    </row>
    <row r="43" spans="2:15" x14ac:dyDescent="0.25">
      <c r="B43" s="49" t="s">
        <v>24</v>
      </c>
      <c r="C43" s="22"/>
      <c r="D43" s="23" t="s">
        <v>70</v>
      </c>
      <c r="E43" s="24"/>
      <c r="F43" s="25">
        <v>1.0800000000000001E-2</v>
      </c>
      <c r="G43" s="178">
        <f>H16</f>
        <v>1</v>
      </c>
      <c r="H43" s="27">
        <f t="shared" si="6"/>
        <v>1.0800000000000001E-2</v>
      </c>
      <c r="I43" s="28"/>
      <c r="J43" s="29">
        <f>'[2]Rate Schedule '!$E$36</f>
        <v>0.02</v>
      </c>
      <c r="K43" s="178">
        <f>H16</f>
        <v>1</v>
      </c>
      <c r="L43" s="27">
        <f t="shared" si="7"/>
        <v>0.02</v>
      </c>
      <c r="M43" s="28"/>
      <c r="N43" s="31">
        <f t="shared" si="8"/>
        <v>9.1999999999999998E-3</v>
      </c>
      <c r="O43" s="32">
        <f t="shared" si="9"/>
        <v>0.85185185185185175</v>
      </c>
    </row>
    <row r="44" spans="2:15" s="34" customFormat="1" x14ac:dyDescent="0.25">
      <c r="B44" s="180" t="s">
        <v>25</v>
      </c>
      <c r="C44" s="24"/>
      <c r="D44" s="181" t="s">
        <v>61</v>
      </c>
      <c r="E44" s="24"/>
      <c r="F44" s="182">
        <f>IF(ISBLANK(D14)=TRUE, 0, IF(D14="TOU", 0.64*$F$54+0.18*$F$55+0.18*$F$56, IF(AND(D14="non-TOU", G58&gt;0), F58,F57)))</f>
        <v>7.4999999999999997E-2</v>
      </c>
      <c r="G44" s="26">
        <f>$F$16*(1+$F$73)-$F$16</f>
        <v>7.2000000000000171</v>
      </c>
      <c r="H44" s="183">
        <f t="shared" si="6"/>
        <v>0.54000000000000126</v>
      </c>
      <c r="I44" s="57"/>
      <c r="J44" s="184">
        <f>IF(ISBLANK(D14)=TRUE, 0, IF(D14="TOU", 0.64*$F$54+0.18*$F$55+0.18*$F$56, IF(AND(D14="non-TOU", K58&gt;0), J58,J57)))</f>
        <v>7.4999999999999997E-2</v>
      </c>
      <c r="K44" s="26">
        <f>$F$16*(1+$J$73)-$F$16</f>
        <v>7.0649999999999977</v>
      </c>
      <c r="L44" s="183">
        <f t="shared" si="7"/>
        <v>0.52987499999999976</v>
      </c>
      <c r="M44" s="57"/>
      <c r="N44" s="185">
        <f t="shared" si="8"/>
        <v>-1.0125000000001494E-2</v>
      </c>
      <c r="O44" s="186">
        <f t="shared" si="9"/>
        <v>-1.8750000000002723E-2</v>
      </c>
    </row>
    <row r="45" spans="2:15" x14ac:dyDescent="0.25">
      <c r="B45" s="49" t="s">
        <v>26</v>
      </c>
      <c r="C45" s="22"/>
      <c r="D45" s="23" t="s">
        <v>60</v>
      </c>
      <c r="E45" s="24"/>
      <c r="F45" s="177"/>
      <c r="G45" s="26">
        <v>0</v>
      </c>
      <c r="H45" s="27">
        <f t="shared" si="6"/>
        <v>0</v>
      </c>
      <c r="I45" s="28"/>
      <c r="J45" s="177"/>
      <c r="K45" s="26">
        <v>0</v>
      </c>
      <c r="L45" s="27">
        <f t="shared" si="7"/>
        <v>0</v>
      </c>
      <c r="M45" s="28"/>
      <c r="N45" s="31">
        <f t="shared" si="8"/>
        <v>0</v>
      </c>
      <c r="O45" s="32"/>
    </row>
    <row r="46" spans="2:15" ht="25.5" x14ac:dyDescent="0.25">
      <c r="B46" s="50" t="s">
        <v>27</v>
      </c>
      <c r="C46" s="51"/>
      <c r="D46" s="51"/>
      <c r="E46" s="51"/>
      <c r="F46" s="52"/>
      <c r="G46" s="53"/>
      <c r="H46" s="54">
        <f>SUM(H39:H45)+H38</f>
        <v>30.757899999999999</v>
      </c>
      <c r="I46" s="41"/>
      <c r="J46" s="53"/>
      <c r="K46" s="55"/>
      <c r="L46" s="54">
        <f>SUM(L39:L45)+L38</f>
        <v>32.520249340928473</v>
      </c>
      <c r="M46" s="41"/>
      <c r="N46" s="44">
        <f t="shared" ref="N46:N64" si="10">L46-H46</f>
        <v>1.7623493409284734</v>
      </c>
      <c r="O46" s="45">
        <f t="shared" ref="O46:O64" si="11">IF((H46)=0,"",(N46/H46))</f>
        <v>5.7297453367377925E-2</v>
      </c>
    </row>
    <row r="47" spans="2:15" x14ac:dyDescent="0.25">
      <c r="B47" s="28" t="s">
        <v>28</v>
      </c>
      <c r="C47" s="28"/>
      <c r="D47" s="56" t="s">
        <v>70</v>
      </c>
      <c r="E47" s="57"/>
      <c r="F47" s="29">
        <v>2.0562</v>
      </c>
      <c r="G47" s="58">
        <f>H16*(1+F73)</f>
        <v>1.048</v>
      </c>
      <c r="H47" s="27">
        <f>G47*F47</f>
        <v>2.1548976</v>
      </c>
      <c r="I47" s="28"/>
      <c r="J47" s="29">
        <f>'[5]13. Final 2015 RTS Rates'!$F$32</f>
        <v>2.122374849471242</v>
      </c>
      <c r="K47" s="59">
        <f>H16*(1+J73)</f>
        <v>1.0470999999999999</v>
      </c>
      <c r="L47" s="27">
        <f>K47*J47</f>
        <v>2.2223387048813374</v>
      </c>
      <c r="M47" s="28"/>
      <c r="N47" s="31">
        <f t="shared" si="10"/>
        <v>6.7441104881337477E-2</v>
      </c>
      <c r="O47" s="32">
        <f t="shared" si="11"/>
        <v>3.1296663415160644E-2</v>
      </c>
    </row>
    <row r="48" spans="2:15" x14ac:dyDescent="0.25">
      <c r="B48" s="60" t="s">
        <v>29</v>
      </c>
      <c r="C48" s="28"/>
      <c r="D48" s="56" t="s">
        <v>70</v>
      </c>
      <c r="E48" s="57"/>
      <c r="F48" s="29">
        <v>1.5665</v>
      </c>
      <c r="G48" s="58">
        <f>G47</f>
        <v>1.048</v>
      </c>
      <c r="H48" s="27">
        <f>G48*F48</f>
        <v>1.6416920000000002</v>
      </c>
      <c r="I48" s="28"/>
      <c r="J48" s="29">
        <f>'[5]13. Final 2015 RTS Rates'!$H$32</f>
        <v>1.6085970004746881</v>
      </c>
      <c r="K48" s="59">
        <f>K47</f>
        <v>1.0470999999999999</v>
      </c>
      <c r="L48" s="27">
        <f>K48*J48</f>
        <v>1.6843619191970458</v>
      </c>
      <c r="M48" s="28"/>
      <c r="N48" s="31">
        <f t="shared" si="10"/>
        <v>4.2669919197045658E-2</v>
      </c>
      <c r="O48" s="32">
        <f t="shared" si="11"/>
        <v>2.5991427866521647E-2</v>
      </c>
    </row>
    <row r="49" spans="2:19" x14ac:dyDescent="0.25">
      <c r="B49" s="50" t="s">
        <v>30</v>
      </c>
      <c r="C49" s="36"/>
      <c r="D49" s="36"/>
      <c r="E49" s="36"/>
      <c r="F49" s="61"/>
      <c r="G49" s="53"/>
      <c r="H49" s="54">
        <f>SUM(H46:H48)</f>
        <v>34.554489599999997</v>
      </c>
      <c r="I49" s="62"/>
      <c r="J49" s="63"/>
      <c r="K49" s="64"/>
      <c r="L49" s="54">
        <f>SUM(L46:L48)</f>
        <v>36.426949965006855</v>
      </c>
      <c r="M49" s="62"/>
      <c r="N49" s="44">
        <f t="shared" si="10"/>
        <v>1.8724603650068588</v>
      </c>
      <c r="O49" s="45">
        <f t="shared" si="11"/>
        <v>5.4188627488998102E-2</v>
      </c>
    </row>
    <row r="50" spans="2:19" x14ac:dyDescent="0.25">
      <c r="B50" s="65" t="s">
        <v>31</v>
      </c>
      <c r="C50" s="22"/>
      <c r="D50" s="23" t="s">
        <v>61</v>
      </c>
      <c r="E50" s="24"/>
      <c r="F50" s="66">
        <v>4.4000000000000003E-3</v>
      </c>
      <c r="G50" s="58">
        <f>F16*(1+F73)</f>
        <v>157.20000000000002</v>
      </c>
      <c r="H50" s="67">
        <f t="shared" ref="H50:H56" si="12">G50*F50</f>
        <v>0.69168000000000007</v>
      </c>
      <c r="I50" s="28"/>
      <c r="J50" s="66">
        <v>4.4000000000000003E-3</v>
      </c>
      <c r="K50" s="59">
        <f>F16*(1+J73)</f>
        <v>157.065</v>
      </c>
      <c r="L50" s="67">
        <f t="shared" ref="L50:L56" si="13">K50*J50</f>
        <v>0.69108599999999998</v>
      </c>
      <c r="M50" s="28"/>
      <c r="N50" s="31">
        <f t="shared" si="10"/>
        <v>-5.9400000000009445E-4</v>
      </c>
      <c r="O50" s="68">
        <f t="shared" si="11"/>
        <v>-8.5877862595433495E-4</v>
      </c>
    </row>
    <row r="51" spans="2:19" x14ac:dyDescent="0.25">
      <c r="B51" s="65" t="s">
        <v>32</v>
      </c>
      <c r="C51" s="22"/>
      <c r="D51" s="23" t="s">
        <v>61</v>
      </c>
      <c r="E51" s="24"/>
      <c r="F51" s="66">
        <v>1.2999999999999999E-3</v>
      </c>
      <c r="G51" s="58">
        <f>G50</f>
        <v>157.20000000000002</v>
      </c>
      <c r="H51" s="67">
        <f t="shared" si="12"/>
        <v>0.20436000000000001</v>
      </c>
      <c r="I51" s="28"/>
      <c r="J51" s="66">
        <v>1.2999999999999999E-3</v>
      </c>
      <c r="K51" s="59">
        <f>K50</f>
        <v>157.065</v>
      </c>
      <c r="L51" s="67">
        <f t="shared" si="13"/>
        <v>0.20418449999999999</v>
      </c>
      <c r="M51" s="28"/>
      <c r="N51" s="31">
        <f t="shared" si="10"/>
        <v>-1.7550000000002286E-4</v>
      </c>
      <c r="O51" s="68">
        <f t="shared" si="11"/>
        <v>-8.5877862595431023E-4</v>
      </c>
    </row>
    <row r="52" spans="2:19" x14ac:dyDescent="0.25">
      <c r="B52" s="22" t="s">
        <v>33</v>
      </c>
      <c r="C52" s="22"/>
      <c r="D52" s="23" t="s">
        <v>60</v>
      </c>
      <c r="E52" s="24"/>
      <c r="F52" s="176">
        <v>0.25</v>
      </c>
      <c r="G52" s="26">
        <v>1</v>
      </c>
      <c r="H52" s="67">
        <f t="shared" si="12"/>
        <v>0.25</v>
      </c>
      <c r="I52" s="28"/>
      <c r="J52" s="176">
        <v>0.25</v>
      </c>
      <c r="K52" s="30">
        <v>1</v>
      </c>
      <c r="L52" s="67">
        <f t="shared" si="13"/>
        <v>0.25</v>
      </c>
      <c r="M52" s="28"/>
      <c r="N52" s="31">
        <f t="shared" si="10"/>
        <v>0</v>
      </c>
      <c r="O52" s="68">
        <f t="shared" si="11"/>
        <v>0</v>
      </c>
    </row>
    <row r="53" spans="2:19" x14ac:dyDescent="0.25">
      <c r="B53" s="22" t="s">
        <v>34</v>
      </c>
      <c r="C53" s="22"/>
      <c r="D53" s="23" t="s">
        <v>61</v>
      </c>
      <c r="E53" s="24"/>
      <c r="F53" s="66">
        <v>7.0000000000000001E-3</v>
      </c>
      <c r="G53" s="69">
        <f>F16</f>
        <v>150</v>
      </c>
      <c r="H53" s="67">
        <f t="shared" si="12"/>
        <v>1.05</v>
      </c>
      <c r="I53" s="28"/>
      <c r="J53" s="66">
        <v>7.0000000000000001E-3</v>
      </c>
      <c r="K53" s="70">
        <f>F16</f>
        <v>150</v>
      </c>
      <c r="L53" s="67">
        <f t="shared" si="13"/>
        <v>1.05</v>
      </c>
      <c r="M53" s="28"/>
      <c r="N53" s="31">
        <f t="shared" si="10"/>
        <v>0</v>
      </c>
      <c r="O53" s="68">
        <f t="shared" si="11"/>
        <v>0</v>
      </c>
    </row>
    <row r="54" spans="2:19" ht="15.75" thickBot="1" x14ac:dyDescent="0.3">
      <c r="B54" s="49" t="s">
        <v>73</v>
      </c>
      <c r="C54" s="22"/>
      <c r="D54" s="23" t="s">
        <v>61</v>
      </c>
      <c r="E54" s="24"/>
      <c r="F54" s="66">
        <v>8.2699999999999996E-2</v>
      </c>
      <c r="G54" s="69">
        <f>F16</f>
        <v>150</v>
      </c>
      <c r="H54" s="67">
        <f t="shared" si="12"/>
        <v>12.404999999999999</v>
      </c>
      <c r="I54" s="28"/>
      <c r="J54" s="66">
        <v>8.2699999999999996E-2</v>
      </c>
      <c r="K54" s="69">
        <f>F16</f>
        <v>150</v>
      </c>
      <c r="L54" s="67">
        <f t="shared" si="13"/>
        <v>12.404999999999999</v>
      </c>
      <c r="M54" s="28"/>
      <c r="N54" s="31">
        <f t="shared" si="10"/>
        <v>0</v>
      </c>
      <c r="O54" s="68">
        <f t="shared" si="11"/>
        <v>0</v>
      </c>
      <c r="S54" s="72"/>
    </row>
    <row r="55" spans="2:19" hidden="1" x14ac:dyDescent="0.25">
      <c r="B55" s="49" t="s">
        <v>36</v>
      </c>
      <c r="C55" s="22"/>
      <c r="D55" s="23"/>
      <c r="E55" s="24"/>
      <c r="F55" s="71">
        <v>0.104</v>
      </c>
      <c r="G55" s="69">
        <v>0</v>
      </c>
      <c r="H55" s="67">
        <f t="shared" si="12"/>
        <v>0</v>
      </c>
      <c r="I55" s="28"/>
      <c r="J55" s="66">
        <v>0.104</v>
      </c>
      <c r="K55" s="69">
        <v>0</v>
      </c>
      <c r="L55" s="67">
        <f t="shared" si="13"/>
        <v>0</v>
      </c>
      <c r="M55" s="28"/>
      <c r="N55" s="31">
        <f t="shared" si="10"/>
        <v>0</v>
      </c>
      <c r="O55" s="68" t="str">
        <f t="shared" si="11"/>
        <v/>
      </c>
      <c r="S55" s="72"/>
    </row>
    <row r="56" spans="2:19" hidden="1" x14ac:dyDescent="0.25">
      <c r="B56" s="12" t="s">
        <v>37</v>
      </c>
      <c r="C56" s="22"/>
      <c r="D56" s="23"/>
      <c r="E56" s="24"/>
      <c r="F56" s="71">
        <v>0.124</v>
      </c>
      <c r="G56" s="69">
        <v>0</v>
      </c>
      <c r="H56" s="67">
        <f t="shared" si="12"/>
        <v>0</v>
      </c>
      <c r="I56" s="28"/>
      <c r="J56" s="66">
        <v>0.124</v>
      </c>
      <c r="K56" s="69">
        <v>0</v>
      </c>
      <c r="L56" s="67">
        <f t="shared" si="13"/>
        <v>0</v>
      </c>
      <c r="M56" s="28"/>
      <c r="N56" s="31">
        <f t="shared" si="10"/>
        <v>0</v>
      </c>
      <c r="O56" s="68" t="str">
        <f t="shared" si="11"/>
        <v/>
      </c>
      <c r="S56" s="72"/>
    </row>
    <row r="57" spans="2:19" s="73" customFormat="1" hidden="1" x14ac:dyDescent="0.2">
      <c r="B57" s="179" t="s">
        <v>38</v>
      </c>
      <c r="C57" s="75"/>
      <c r="D57" s="76"/>
      <c r="E57" s="77"/>
      <c r="F57" s="71">
        <v>7.4999999999999997E-2</v>
      </c>
      <c r="G57" s="78">
        <f>IF(AND($T$1=1, F16&gt;=600), 600, IF(AND($T$1=1, AND(F16&lt;600, F16&gt;=0)), F16, IF(AND($T$1=2, F16&gt;=1000), 1000, IF(AND($T$1=2, AND(F16&lt;1000, F16&gt;=0)), F16))))</f>
        <v>150</v>
      </c>
      <c r="H57" s="67">
        <f>G57*F57</f>
        <v>11.25</v>
      </c>
      <c r="I57" s="79"/>
      <c r="J57" s="66">
        <v>7.4999999999999997E-2</v>
      </c>
      <c r="K57" s="78">
        <f>G57</f>
        <v>150</v>
      </c>
      <c r="L57" s="67">
        <f>K57*J57</f>
        <v>11.25</v>
      </c>
      <c r="M57" s="79"/>
      <c r="N57" s="80">
        <f t="shared" si="10"/>
        <v>0</v>
      </c>
      <c r="O57" s="68">
        <f t="shared" si="11"/>
        <v>0</v>
      </c>
    </row>
    <row r="58" spans="2:19" s="73" customFormat="1" ht="15.75" hidden="1" thickBot="1" x14ac:dyDescent="0.25">
      <c r="B58" s="179" t="s">
        <v>39</v>
      </c>
      <c r="C58" s="75"/>
      <c r="D58" s="76"/>
      <c r="E58" s="77"/>
      <c r="F58" s="71">
        <v>8.7999999999999995E-2</v>
      </c>
      <c r="G58" s="78">
        <f>IF(AND($T$1=1, F16&gt;=600), F16-600, IF(AND($T$1=1, AND(F16&lt;600, F16&gt;=0)), 0, IF(AND($T$1=2, F16&gt;=1000), F16-1000, IF(AND($T$1=2, AND(F16&lt;1000, F16&gt;=0)), 0))))</f>
        <v>0</v>
      </c>
      <c r="H58" s="67">
        <f>G58*F58</f>
        <v>0</v>
      </c>
      <c r="I58" s="79"/>
      <c r="J58" s="66">
        <v>8.7999999999999995E-2</v>
      </c>
      <c r="K58" s="78">
        <f>G58</f>
        <v>0</v>
      </c>
      <c r="L58" s="67">
        <f>K58*J58</f>
        <v>0</v>
      </c>
      <c r="M58" s="79"/>
      <c r="N58" s="80">
        <f t="shared" si="10"/>
        <v>0</v>
      </c>
      <c r="O58" s="68" t="str">
        <f t="shared" si="11"/>
        <v/>
      </c>
    </row>
    <row r="59" spans="2:19" ht="8.25" customHeight="1" thickBot="1" x14ac:dyDescent="0.3">
      <c r="B59" s="81"/>
      <c r="C59" s="82"/>
      <c r="D59" s="83"/>
      <c r="E59" s="82"/>
      <c r="F59" s="84"/>
      <c r="G59" s="85"/>
      <c r="H59" s="86"/>
      <c r="I59" s="87"/>
      <c r="J59" s="84"/>
      <c r="K59" s="88"/>
      <c r="L59" s="86"/>
      <c r="M59" s="87"/>
      <c r="N59" s="89"/>
      <c r="O59" s="90"/>
    </row>
    <row r="60" spans="2:19" hidden="1" x14ac:dyDescent="0.25">
      <c r="B60" s="91" t="s">
        <v>40</v>
      </c>
      <c r="C60" s="22"/>
      <c r="D60" s="22"/>
      <c r="E60" s="22"/>
      <c r="F60" s="92"/>
      <c r="G60" s="93"/>
      <c r="H60" s="94">
        <f>SUM(H50:H56,H49)</f>
        <v>49.155529599999994</v>
      </c>
      <c r="I60" s="95"/>
      <c r="J60" s="96"/>
      <c r="K60" s="96"/>
      <c r="L60" s="94">
        <f>SUM(L50:L56,L49)</f>
        <v>51.027220465006856</v>
      </c>
      <c r="M60" s="97"/>
      <c r="N60" s="98">
        <f>L60-H60</f>
        <v>1.8716908650068618</v>
      </c>
      <c r="O60" s="99">
        <f>IF((H60)=0,"",(N60/H60))</f>
        <v>3.8076913833247808E-2</v>
      </c>
      <c r="S60" s="72"/>
    </row>
    <row r="61" spans="2:19" hidden="1" x14ac:dyDescent="0.25">
      <c r="B61" s="100" t="s">
        <v>41</v>
      </c>
      <c r="C61" s="22"/>
      <c r="D61" s="22"/>
      <c r="E61" s="22"/>
      <c r="F61" s="101">
        <v>0.13</v>
      </c>
      <c r="G61" s="102"/>
      <c r="H61" s="103">
        <f>H60*F61</f>
        <v>6.3902188479999991</v>
      </c>
      <c r="I61" s="104"/>
      <c r="J61" s="105">
        <v>0.13</v>
      </c>
      <c r="K61" s="104"/>
      <c r="L61" s="106">
        <f>L60*J61</f>
        <v>6.6335386604508919</v>
      </c>
      <c r="M61" s="107"/>
      <c r="N61" s="108">
        <f t="shared" si="10"/>
        <v>0.24331981245089285</v>
      </c>
      <c r="O61" s="109">
        <f t="shared" si="11"/>
        <v>3.8076913833247933E-2</v>
      </c>
      <c r="S61" s="72"/>
    </row>
    <row r="62" spans="2:19" hidden="1" x14ac:dyDescent="0.25">
      <c r="B62" s="110" t="s">
        <v>42</v>
      </c>
      <c r="C62" s="22"/>
      <c r="D62" s="22"/>
      <c r="E62" s="22"/>
      <c r="F62" s="111"/>
      <c r="G62" s="102"/>
      <c r="H62" s="103">
        <f>H60+H61</f>
        <v>55.545748447999991</v>
      </c>
      <c r="I62" s="104"/>
      <c r="J62" s="104"/>
      <c r="K62" s="104"/>
      <c r="L62" s="106">
        <f>L60+L61</f>
        <v>57.660759125457744</v>
      </c>
      <c r="M62" s="107"/>
      <c r="N62" s="108">
        <f t="shared" si="10"/>
        <v>2.1150106774577537</v>
      </c>
      <c r="O62" s="109">
        <f t="shared" si="11"/>
        <v>3.8076913833247808E-2</v>
      </c>
      <c r="S62" s="72"/>
    </row>
    <row r="63" spans="2:19" ht="15.75" hidden="1" customHeight="1" x14ac:dyDescent="0.25">
      <c r="B63" s="240" t="s">
        <v>43</v>
      </c>
      <c r="C63" s="240"/>
      <c r="D63" s="240"/>
      <c r="E63" s="22"/>
      <c r="F63" s="111"/>
      <c r="G63" s="102"/>
      <c r="H63" s="112">
        <f>ROUND(-H62*10%,2)</f>
        <v>-5.55</v>
      </c>
      <c r="I63" s="104"/>
      <c r="J63" s="104"/>
      <c r="K63" s="104"/>
      <c r="L63" s="113">
        <f>ROUND(-L62*10%,2)</f>
        <v>-5.77</v>
      </c>
      <c r="M63" s="107"/>
      <c r="N63" s="114">
        <f t="shared" si="10"/>
        <v>-0.21999999999999975</v>
      </c>
      <c r="O63" s="115">
        <f t="shared" si="11"/>
        <v>3.9639639639639596E-2</v>
      </c>
    </row>
    <row r="64" spans="2:19" hidden="1" x14ac:dyDescent="0.25">
      <c r="B64" s="246" t="s">
        <v>44</v>
      </c>
      <c r="C64" s="246"/>
      <c r="D64" s="246"/>
      <c r="E64" s="116"/>
      <c r="F64" s="117"/>
      <c r="G64" s="118"/>
      <c r="H64" s="119">
        <f>H62+H63</f>
        <v>49.995748447999993</v>
      </c>
      <c r="I64" s="120"/>
      <c r="J64" s="120"/>
      <c r="K64" s="120"/>
      <c r="L64" s="121">
        <f>L62+L63</f>
        <v>51.890759125457748</v>
      </c>
      <c r="M64" s="122"/>
      <c r="N64" s="123">
        <f t="shared" si="10"/>
        <v>1.8950106774577549</v>
      </c>
      <c r="O64" s="124">
        <f t="shared" si="11"/>
        <v>3.7903436517781781E-2</v>
      </c>
    </row>
    <row r="65" spans="1:15" s="73" customFormat="1" ht="8.25" hidden="1" customHeight="1" x14ac:dyDescent="0.2">
      <c r="B65" s="125"/>
      <c r="C65" s="126"/>
      <c r="D65" s="127"/>
      <c r="E65" s="126"/>
      <c r="F65" s="84"/>
      <c r="G65" s="128"/>
      <c r="H65" s="86"/>
      <c r="I65" s="129"/>
      <c r="J65" s="84"/>
      <c r="K65" s="130"/>
      <c r="L65" s="86"/>
      <c r="M65" s="129"/>
      <c r="N65" s="131"/>
      <c r="O65" s="90"/>
    </row>
    <row r="66" spans="1:15" s="73" customFormat="1" ht="12.75" x14ac:dyDescent="0.2">
      <c r="B66" s="132" t="s">
        <v>45</v>
      </c>
      <c r="C66" s="75"/>
      <c r="D66" s="75"/>
      <c r="E66" s="75"/>
      <c r="F66" s="133"/>
      <c r="G66" s="134"/>
      <c r="H66" s="135">
        <f>SUM(H54,H49,H50:H53)</f>
        <v>49.155529599999994</v>
      </c>
      <c r="I66" s="136"/>
      <c r="J66" s="137"/>
      <c r="K66" s="137"/>
      <c r="L66" s="188">
        <f>SUM(L54,L49,L50:L53)</f>
        <v>51.027220465006849</v>
      </c>
      <c r="M66" s="138"/>
      <c r="N66" s="139">
        <f>L66-H66</f>
        <v>1.8716908650068547</v>
      </c>
      <c r="O66" s="99">
        <f>IF((H66)=0,"",(N66/H66))</f>
        <v>3.8076913833247662E-2</v>
      </c>
    </row>
    <row r="67" spans="1:15" s="73" customFormat="1" ht="12.75" x14ac:dyDescent="0.2">
      <c r="B67" s="140" t="s">
        <v>41</v>
      </c>
      <c r="C67" s="75"/>
      <c r="D67" s="75"/>
      <c r="E67" s="75"/>
      <c r="F67" s="141">
        <v>0.13</v>
      </c>
      <c r="G67" s="134"/>
      <c r="H67" s="142">
        <f>H66*F67</f>
        <v>6.3902188479999991</v>
      </c>
      <c r="I67" s="143"/>
      <c r="J67" s="144">
        <v>0.13</v>
      </c>
      <c r="K67" s="145"/>
      <c r="L67" s="146">
        <f>L66*J67</f>
        <v>6.6335386604508901</v>
      </c>
      <c r="M67" s="147"/>
      <c r="N67" s="148">
        <f>L67-H67</f>
        <v>0.24331981245089107</v>
      </c>
      <c r="O67" s="109">
        <f>IF((H67)=0,"",(N67/H67))</f>
        <v>3.8076913833247655E-2</v>
      </c>
    </row>
    <row r="68" spans="1:15" s="73" customFormat="1" ht="12.75" x14ac:dyDescent="0.2">
      <c r="B68" s="149" t="s">
        <v>42</v>
      </c>
      <c r="C68" s="75"/>
      <c r="D68" s="75"/>
      <c r="E68" s="75"/>
      <c r="F68" s="150"/>
      <c r="G68" s="151"/>
      <c r="H68" s="142">
        <f>H66+H67</f>
        <v>55.545748447999991</v>
      </c>
      <c r="I68" s="143"/>
      <c r="J68" s="143"/>
      <c r="K68" s="143"/>
      <c r="L68" s="146">
        <f>L66+L67</f>
        <v>57.660759125457737</v>
      </c>
      <c r="M68" s="147"/>
      <c r="N68" s="148">
        <f>L68-H68</f>
        <v>2.1150106774577466</v>
      </c>
      <c r="O68" s="109">
        <f>IF((H68)=0,"",(N68/H68))</f>
        <v>3.8076913833247676E-2</v>
      </c>
    </row>
    <row r="69" spans="1:15" s="73" customFormat="1" ht="15.75" customHeight="1" x14ac:dyDescent="0.2">
      <c r="B69" s="241" t="s">
        <v>43</v>
      </c>
      <c r="C69" s="241"/>
      <c r="D69" s="241"/>
      <c r="E69" s="75"/>
      <c r="F69" s="150"/>
      <c r="G69" s="151"/>
      <c r="H69" s="152">
        <f>ROUND(-H68*10%,2)</f>
        <v>-5.55</v>
      </c>
      <c r="I69" s="143"/>
      <c r="J69" s="143"/>
      <c r="K69" s="143"/>
      <c r="L69" s="153">
        <f>ROUND(-L68*10%,2)</f>
        <v>-5.77</v>
      </c>
      <c r="M69" s="147"/>
      <c r="N69" s="154">
        <f>L69-H69</f>
        <v>-0.21999999999999975</v>
      </c>
      <c r="O69" s="115">
        <f>IF((H69)=0,"",(N69/H69))</f>
        <v>3.9639639639639596E-2</v>
      </c>
    </row>
    <row r="70" spans="1:15" s="73" customFormat="1" ht="13.5" thickBot="1" x14ac:dyDescent="0.25">
      <c r="B70" s="233" t="s">
        <v>46</v>
      </c>
      <c r="C70" s="233"/>
      <c r="D70" s="233"/>
      <c r="E70" s="155"/>
      <c r="F70" s="156"/>
      <c r="G70" s="157"/>
      <c r="H70" s="158">
        <f>SUM(H68:H69)</f>
        <v>49.995748447999993</v>
      </c>
      <c r="I70" s="159"/>
      <c r="J70" s="159"/>
      <c r="K70" s="159"/>
      <c r="L70" s="160">
        <f>SUM(L68:L69)</f>
        <v>51.890759125457734</v>
      </c>
      <c r="M70" s="161"/>
      <c r="N70" s="162">
        <f>L70-H70</f>
        <v>1.8950106774577407</v>
      </c>
      <c r="O70" s="163">
        <f>IF((H70)=0,"",(N70/H70))</f>
        <v>3.7903436517781497E-2</v>
      </c>
    </row>
    <row r="71" spans="1:15" s="73" customFormat="1" ht="8.25" customHeight="1" thickBot="1" x14ac:dyDescent="0.25">
      <c r="B71" s="125"/>
      <c r="C71" s="126"/>
      <c r="D71" s="127"/>
      <c r="E71" s="126"/>
      <c r="F71" s="164"/>
      <c r="G71" s="165"/>
      <c r="H71" s="166"/>
      <c r="I71" s="167"/>
      <c r="J71" s="164"/>
      <c r="K71" s="128"/>
      <c r="L71" s="168"/>
      <c r="M71" s="129"/>
      <c r="N71" s="169"/>
      <c r="O71" s="90"/>
    </row>
    <row r="72" spans="1:15" ht="10.5" customHeight="1" x14ac:dyDescent="0.25">
      <c r="L72" s="72"/>
    </row>
    <row r="73" spans="1:15" x14ac:dyDescent="0.25">
      <c r="B73" s="13" t="s">
        <v>47</v>
      </c>
      <c r="F73" s="170">
        <v>4.8000000000000001E-2</v>
      </c>
      <c r="J73" s="170">
        <f>'Res (100kWh)'!$J$74</f>
        <v>4.7100000000000003E-2</v>
      </c>
    </row>
    <row r="74" spans="1:15" ht="10.5" customHeight="1" x14ac:dyDescent="0.25"/>
    <row r="75" spans="1:15" x14ac:dyDescent="0.25">
      <c r="A75" s="171" t="s">
        <v>48</v>
      </c>
    </row>
    <row r="76" spans="1:15" ht="10.5" customHeight="1" x14ac:dyDescent="0.25"/>
    <row r="77" spans="1:15" x14ac:dyDescent="0.25">
      <c r="A77" s="7" t="s">
        <v>49</v>
      </c>
    </row>
    <row r="78" spans="1:15" x14ac:dyDescent="0.25">
      <c r="A78" s="7" t="s">
        <v>50</v>
      </c>
    </row>
    <row r="80" spans="1:15" x14ac:dyDescent="0.25">
      <c r="A80" s="12" t="s">
        <v>51</v>
      </c>
    </row>
    <row r="81" spans="1:2" x14ac:dyDescent="0.25">
      <c r="A81" s="12" t="s">
        <v>52</v>
      </c>
    </row>
    <row r="83" spans="1:2" x14ac:dyDescent="0.25">
      <c r="A83" s="7" t="s">
        <v>53</v>
      </c>
    </row>
    <row r="84" spans="1:2" x14ac:dyDescent="0.25">
      <c r="A84" s="7" t="s">
        <v>54</v>
      </c>
    </row>
    <row r="85" spans="1:2" x14ac:dyDescent="0.25">
      <c r="A85" s="7" t="s">
        <v>55</v>
      </c>
    </row>
    <row r="86" spans="1:2" x14ac:dyDescent="0.25">
      <c r="A86" s="7" t="s">
        <v>56</v>
      </c>
    </row>
    <row r="87" spans="1:2" x14ac:dyDescent="0.25">
      <c r="A87" s="7" t="s">
        <v>57</v>
      </c>
    </row>
    <row r="89" spans="1:2" x14ac:dyDescent="0.25">
      <c r="A89" s="172"/>
      <c r="B89" s="7" t="s">
        <v>58</v>
      </c>
    </row>
  </sheetData>
  <mergeCells count="17">
    <mergeCell ref="N18:O18"/>
    <mergeCell ref="N1:O1"/>
    <mergeCell ref="N2:O2"/>
    <mergeCell ref="N3:O3"/>
    <mergeCell ref="N5:O5"/>
    <mergeCell ref="B8:O8"/>
    <mergeCell ref="B9:O9"/>
    <mergeCell ref="D12:O12"/>
    <mergeCell ref="F18:H18"/>
    <mergeCell ref="J18:L18"/>
    <mergeCell ref="B70:D70"/>
    <mergeCell ref="D19:D20"/>
    <mergeCell ref="N19:N20"/>
    <mergeCell ref="O19:O20"/>
    <mergeCell ref="B63:D63"/>
    <mergeCell ref="B64:D64"/>
    <mergeCell ref="B69:D69"/>
  </mergeCells>
  <dataValidations count="4">
    <dataValidation type="list" allowBlank="1" showInputMessage="1" showErrorMessage="1" sqref="D14">
      <formula1>"TOU, non-TOU"</formula1>
    </dataValidation>
    <dataValidation type="list" allowBlank="1" showInputMessage="1" showErrorMessage="1" sqref="E71 E65 E47:E48 E39:E45 E50:E59 E21:E24 E26:E37">
      <formula1>#REF!</formula1>
    </dataValidation>
    <dataValidation type="list" allowBlank="1" showInputMessage="1" showErrorMessage="1" prompt="Select Charge Unit - monthly, per kWh, per kW" sqref="D47:D48 D39:D45 D65 D50:D59 D71 D21:D37">
      <formula1>"Monthly, per kWh, per kW"</formula1>
    </dataValidation>
    <dataValidation type="list" allowBlank="1" showInputMessage="1" showErrorMessage="1" sqref="E25">
      <formula1>#REF!</formula1>
    </dataValidation>
  </dataValidations>
  <pageMargins left="0.7" right="0.7" top="0.75" bottom="0.75" header="0.3" footer="0.3"/>
  <pageSetup scale="56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theme="0" tint="-0.14999847407452621"/>
    <pageSetUpPr fitToPage="1"/>
  </sheetPr>
  <dimension ref="A1:T90"/>
  <sheetViews>
    <sheetView showGridLines="0" workbookViewId="0">
      <selection activeCell="N5" sqref="N5:O5"/>
    </sheetView>
  </sheetViews>
  <sheetFormatPr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8.5703125" style="7" customWidth="1"/>
    <col min="8" max="8" width="9.7109375" style="7" customWidth="1"/>
    <col min="9" max="9" width="2.85546875" style="7" customWidth="1"/>
    <col min="10" max="10" width="12.140625" style="7" customWidth="1"/>
    <col min="11" max="11" width="8.5703125" style="7" customWidth="1"/>
    <col min="12" max="12" width="9.7109375" style="7" customWidth="1"/>
    <col min="13" max="13" width="2.85546875" style="7" customWidth="1"/>
    <col min="14" max="14" width="11.5703125" style="7" customWidth="1"/>
    <col min="15" max="15" width="10.85546875" style="7" bestFit="1" customWidth="1"/>
    <col min="16" max="16" width="6.4257812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248" t="str">
        <f>'Res (100kWh)'!$N$1:$O$1</f>
        <v>EB-2014-0099</v>
      </c>
      <c r="O1" s="248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94</v>
      </c>
      <c r="N2" s="249">
        <f>'Res (100kWh)'!$N$2:$O$2</f>
        <v>8</v>
      </c>
      <c r="O2" s="249"/>
    </row>
    <row r="3" spans="1:20" s="2" customFormat="1" ht="15" customHeight="1" x14ac:dyDescent="0.25">
      <c r="C3" s="6"/>
      <c r="D3" s="6"/>
      <c r="E3" s="6"/>
      <c r="L3" s="3" t="s">
        <v>95</v>
      </c>
      <c r="N3" s="248" t="str">
        <f>'Res (100kWh)'!$N$3:$O$3</f>
        <v>8-B</v>
      </c>
      <c r="O3" s="248"/>
    </row>
    <row r="4" spans="1:20" s="2" customFormat="1" ht="9" customHeight="1" x14ac:dyDescent="0.25">
      <c r="L4" s="3"/>
      <c r="N4" s="232"/>
      <c r="O4"/>
    </row>
    <row r="5" spans="1:20" s="2" customFormat="1" x14ac:dyDescent="0.25">
      <c r="L5" s="3" t="s">
        <v>75</v>
      </c>
      <c r="N5" s="248">
        <f>'Res (100kWh)'!$N$5:$O$5</f>
        <v>42118</v>
      </c>
      <c r="O5" s="248"/>
    </row>
    <row r="6" spans="1:20" s="2" customFormat="1" ht="15" customHeight="1" x14ac:dyDescent="0.25">
      <c r="N6" s="7"/>
      <c r="O6"/>
      <c r="P6"/>
    </row>
    <row r="7" spans="1:20" ht="7.5" customHeight="1" x14ac:dyDescent="0.25">
      <c r="L7"/>
      <c r="M7"/>
      <c r="N7"/>
      <c r="O7"/>
      <c r="P7"/>
    </row>
    <row r="8" spans="1:20" ht="18.75" customHeight="1" x14ac:dyDescent="0.25">
      <c r="B8" s="247" t="s">
        <v>1</v>
      </c>
      <c r="C8" s="247"/>
      <c r="D8" s="247"/>
      <c r="E8" s="247"/>
      <c r="F8" s="247"/>
      <c r="G8" s="247"/>
      <c r="H8" s="247"/>
      <c r="I8" s="247"/>
      <c r="J8" s="247"/>
      <c r="K8" s="247"/>
      <c r="L8" s="247"/>
      <c r="M8" s="247"/>
      <c r="N8" s="247"/>
      <c r="O8" s="247"/>
      <c r="P8"/>
    </row>
    <row r="9" spans="1:20" ht="18.75" customHeight="1" x14ac:dyDescent="0.25">
      <c r="B9" s="247" t="s">
        <v>2</v>
      </c>
      <c r="C9" s="247"/>
      <c r="D9" s="247"/>
      <c r="E9" s="247"/>
      <c r="F9" s="247"/>
      <c r="G9" s="247"/>
      <c r="H9" s="247"/>
      <c r="I9" s="247"/>
      <c r="J9" s="247"/>
      <c r="K9" s="247"/>
      <c r="L9" s="247"/>
      <c r="M9" s="247"/>
      <c r="N9" s="247"/>
      <c r="O9" s="247"/>
      <c r="P9"/>
    </row>
    <row r="10" spans="1:20" ht="7.5" customHeight="1" x14ac:dyDescent="0.25">
      <c r="L10"/>
      <c r="M10"/>
      <c r="N10"/>
      <c r="O10"/>
      <c r="P10"/>
    </row>
    <row r="11" spans="1:20" ht="7.5" customHeight="1" x14ac:dyDescent="0.25">
      <c r="L11"/>
      <c r="M11"/>
      <c r="N11"/>
      <c r="O11"/>
      <c r="P11"/>
    </row>
    <row r="12" spans="1:20" ht="15.75" x14ac:dyDescent="0.25">
      <c r="B12" s="8" t="s">
        <v>3</v>
      </c>
      <c r="D12" s="242" t="s">
        <v>59</v>
      </c>
      <c r="E12" s="242"/>
      <c r="F12" s="242"/>
      <c r="G12" s="242"/>
      <c r="H12" s="242"/>
      <c r="I12" s="242"/>
      <c r="J12" s="242"/>
      <c r="K12" s="242"/>
      <c r="L12" s="242"/>
      <c r="M12" s="242"/>
      <c r="N12" s="242"/>
      <c r="O12" s="242"/>
    </row>
    <row r="13" spans="1:20" ht="7.5" customHeight="1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5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x14ac:dyDescent="0.25">
      <c r="B16" s="12"/>
      <c r="D16" s="13" t="s">
        <v>6</v>
      </c>
      <c r="E16" s="13"/>
      <c r="F16" s="14">
        <v>250</v>
      </c>
      <c r="G16" s="13" t="s">
        <v>7</v>
      </c>
    </row>
    <row r="17" spans="2:15" x14ac:dyDescent="0.25">
      <c r="B17" s="12"/>
    </row>
    <row r="18" spans="2:15" x14ac:dyDescent="0.25">
      <c r="B18" s="12"/>
      <c r="D18" s="15"/>
      <c r="E18" s="15"/>
      <c r="F18" s="243" t="s">
        <v>8</v>
      </c>
      <c r="G18" s="244"/>
      <c r="H18" s="245"/>
      <c r="J18" s="243" t="s">
        <v>9</v>
      </c>
      <c r="K18" s="244"/>
      <c r="L18" s="245"/>
      <c r="N18" s="243" t="s">
        <v>10</v>
      </c>
      <c r="O18" s="245"/>
    </row>
    <row r="19" spans="2:15" x14ac:dyDescent="0.25">
      <c r="B19" s="12"/>
      <c r="D19" s="234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236" t="s">
        <v>15</v>
      </c>
      <c r="O19" s="238" t="s">
        <v>16</v>
      </c>
    </row>
    <row r="20" spans="2:15" x14ac:dyDescent="0.25">
      <c r="B20" s="12"/>
      <c r="D20" s="235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237"/>
      <c r="O20" s="239"/>
    </row>
    <row r="21" spans="2:15" ht="22.5" customHeight="1" x14ac:dyDescent="0.25">
      <c r="B21" s="22" t="s">
        <v>18</v>
      </c>
      <c r="C21" s="22"/>
      <c r="D21" s="23" t="s">
        <v>60</v>
      </c>
      <c r="E21" s="24"/>
      <c r="F21" s="174">
        <f>'[2]2014 Existing Rates'!$C$6</f>
        <v>14.64</v>
      </c>
      <c r="G21" s="26">
        <v>1</v>
      </c>
      <c r="H21" s="27">
        <f>G21*F21</f>
        <v>14.64</v>
      </c>
      <c r="I21" s="28"/>
      <c r="J21" s="173">
        <f>'[2]Rate Schedule '!$E$10</f>
        <v>16.73</v>
      </c>
      <c r="K21" s="30">
        <v>1</v>
      </c>
      <c r="L21" s="27">
        <f>K21*J21</f>
        <v>16.73</v>
      </c>
      <c r="M21" s="28"/>
      <c r="N21" s="31">
        <f>L21-H21</f>
        <v>2.09</v>
      </c>
      <c r="O21" s="32">
        <f>IF((H21)=0,"",(N21/H21))</f>
        <v>0.14275956284153005</v>
      </c>
    </row>
    <row r="22" spans="2:15" ht="36.75" customHeight="1" x14ac:dyDescent="0.25">
      <c r="B22" s="65" t="s">
        <v>80</v>
      </c>
      <c r="C22" s="22"/>
      <c r="D22" s="56" t="s">
        <v>60</v>
      </c>
      <c r="E22" s="24"/>
      <c r="F22" s="173">
        <v>1.33</v>
      </c>
      <c r="G22" s="26">
        <v>1</v>
      </c>
      <c r="H22" s="27">
        <f t="shared" ref="H22:H37" si="0">G22*F22</f>
        <v>1.33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-1.33</v>
      </c>
      <c r="O22" s="32">
        <f>IF((H22)=0,"",(N22/H22))</f>
        <v>-1</v>
      </c>
    </row>
    <row r="23" spans="2:15" ht="36.75" customHeight="1" x14ac:dyDescent="0.25">
      <c r="B23" s="175" t="s">
        <v>63</v>
      </c>
      <c r="C23" s="22"/>
      <c r="D23" s="56" t="s">
        <v>60</v>
      </c>
      <c r="E23" s="57"/>
      <c r="F23" s="173">
        <v>1.37</v>
      </c>
      <c r="G23" s="26">
        <v>1</v>
      </c>
      <c r="H23" s="27">
        <f t="shared" si="0"/>
        <v>1.37</v>
      </c>
      <c r="I23" s="28"/>
      <c r="J23" s="29"/>
      <c r="K23" s="30">
        <v>1</v>
      </c>
      <c r="L23" s="27">
        <f t="shared" ref="L23:L37" si="1">K23*J23</f>
        <v>0</v>
      </c>
      <c r="M23" s="28"/>
      <c r="N23" s="31">
        <f t="shared" ref="N23:N38" si="2">L23-H23</f>
        <v>-1.37</v>
      </c>
      <c r="O23" s="32">
        <f t="shared" ref="O23:O38" si="3">IF((H23)=0,"",(N23/H23))</f>
        <v>-1</v>
      </c>
    </row>
    <row r="24" spans="2:15" x14ac:dyDescent="0.25">
      <c r="B24" s="175" t="s">
        <v>64</v>
      </c>
      <c r="C24" s="22"/>
      <c r="D24" s="23" t="s">
        <v>60</v>
      </c>
      <c r="E24" s="24"/>
      <c r="F24" s="25"/>
      <c r="G24" s="26">
        <v>1</v>
      </c>
      <c r="H24" s="27">
        <f t="shared" si="0"/>
        <v>0</v>
      </c>
      <c r="I24" s="28"/>
      <c r="J24" s="173">
        <f>'[3]Stranded Meter Calc'!$B$103</f>
        <v>0.85</v>
      </c>
      <c r="K24" s="30">
        <v>1</v>
      </c>
      <c r="L24" s="27">
        <f t="shared" si="1"/>
        <v>0.85</v>
      </c>
      <c r="M24" s="28"/>
      <c r="N24" s="31">
        <f t="shared" si="2"/>
        <v>0.85</v>
      </c>
      <c r="O24" s="32" t="str">
        <f t="shared" si="3"/>
        <v/>
      </c>
    </row>
    <row r="25" spans="2:15" x14ac:dyDescent="0.25">
      <c r="B25" s="175" t="s">
        <v>88</v>
      </c>
      <c r="C25" s="22"/>
      <c r="D25" s="23" t="s">
        <v>61</v>
      </c>
      <c r="E25" s="24"/>
      <c r="F25" s="25">
        <v>0</v>
      </c>
      <c r="G25" s="26">
        <v>100</v>
      </c>
      <c r="H25" s="27">
        <v>0</v>
      </c>
      <c r="I25" s="28"/>
      <c r="J25" s="29">
        <v>1.9720869946651326E-4</v>
      </c>
      <c r="K25" s="30">
        <v>100</v>
      </c>
      <c r="L25" s="27">
        <v>1.9720869946651325E-2</v>
      </c>
      <c r="M25" s="28"/>
      <c r="N25" s="31">
        <v>1.9720869946651325E-2</v>
      </c>
      <c r="O25" s="32" t="s">
        <v>92</v>
      </c>
    </row>
    <row r="26" spans="2:15" x14ac:dyDescent="0.25">
      <c r="B26" s="46" t="s">
        <v>65</v>
      </c>
      <c r="C26" s="22"/>
      <c r="D26" s="23" t="s">
        <v>61</v>
      </c>
      <c r="E26" s="24"/>
      <c r="F26" s="25">
        <v>-2.0000000000000001E-4</v>
      </c>
      <c r="G26" s="26">
        <f>$F$16</f>
        <v>250</v>
      </c>
      <c r="H26" s="27">
        <f t="shared" si="0"/>
        <v>-0.05</v>
      </c>
      <c r="I26" s="28"/>
      <c r="J26" s="173"/>
      <c r="K26" s="26">
        <f>$F$16</f>
        <v>250</v>
      </c>
      <c r="L26" s="27">
        <f t="shared" si="1"/>
        <v>0</v>
      </c>
      <c r="M26" s="28"/>
      <c r="N26" s="31">
        <f t="shared" si="2"/>
        <v>0.05</v>
      </c>
      <c r="O26" s="32">
        <f t="shared" si="3"/>
        <v>-1</v>
      </c>
    </row>
    <row r="27" spans="2:15" x14ac:dyDescent="0.25">
      <c r="B27" s="46" t="s">
        <v>66</v>
      </c>
      <c r="C27" s="22"/>
      <c r="D27" s="23" t="s">
        <v>61</v>
      </c>
      <c r="E27" s="24"/>
      <c r="F27" s="25"/>
      <c r="G27" s="26">
        <f>$F$16</f>
        <v>250</v>
      </c>
      <c r="H27" s="27">
        <f t="shared" si="0"/>
        <v>0</v>
      </c>
      <c r="I27" s="28"/>
      <c r="J27" s="29">
        <f>'[4]6. Rate Rider Calculations'!$F$75</f>
        <v>-7.1014119500589033E-3</v>
      </c>
      <c r="K27" s="26">
        <f>$F$16</f>
        <v>250</v>
      </c>
      <c r="L27" s="27">
        <f t="shared" si="1"/>
        <v>-1.7753529875147258</v>
      </c>
      <c r="M27" s="28"/>
      <c r="N27" s="31">
        <f t="shared" si="2"/>
        <v>-1.7753529875147258</v>
      </c>
      <c r="O27" s="32" t="str">
        <f t="shared" si="3"/>
        <v/>
      </c>
    </row>
    <row r="28" spans="2:15" x14ac:dyDescent="0.25">
      <c r="B28" s="22" t="s">
        <v>19</v>
      </c>
      <c r="C28" s="22"/>
      <c r="D28" s="23" t="s">
        <v>61</v>
      </c>
      <c r="E28" s="24"/>
      <c r="F28" s="25">
        <f>'[2]2014 Existing Rates'!$E$6</f>
        <v>1.3100000000000001E-2</v>
      </c>
      <c r="G28" s="26">
        <f>$F$16</f>
        <v>250</v>
      </c>
      <c r="H28" s="27">
        <f t="shared" si="0"/>
        <v>3.2750000000000004</v>
      </c>
      <c r="I28" s="28"/>
      <c r="J28" s="29">
        <f>'[2]Rate Schedule '!$E$11</f>
        <v>1.4999999999999999E-2</v>
      </c>
      <c r="K28" s="26">
        <f>$F$16</f>
        <v>250</v>
      </c>
      <c r="L28" s="27">
        <f t="shared" si="1"/>
        <v>3.75</v>
      </c>
      <c r="M28" s="28"/>
      <c r="N28" s="31">
        <f t="shared" si="2"/>
        <v>0.47499999999999964</v>
      </c>
      <c r="O28" s="32">
        <f t="shared" si="3"/>
        <v>0.14503816793893118</v>
      </c>
    </row>
    <row r="29" spans="2:15" hidden="1" x14ac:dyDescent="0.25">
      <c r="B29" s="22" t="s">
        <v>20</v>
      </c>
      <c r="C29" s="22"/>
      <c r="D29" s="23"/>
      <c r="E29" s="24"/>
      <c r="F29" s="25"/>
      <c r="G29" s="26">
        <f>$F$16</f>
        <v>250</v>
      </c>
      <c r="H29" s="27">
        <f t="shared" si="0"/>
        <v>0</v>
      </c>
      <c r="I29" s="28"/>
      <c r="J29" s="29"/>
      <c r="K29" s="26">
        <f t="shared" ref="K29:K37" si="4">$F$16</f>
        <v>250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idden="1" x14ac:dyDescent="0.25">
      <c r="B30" s="22" t="s">
        <v>21</v>
      </c>
      <c r="C30" s="22"/>
      <c r="D30" s="23"/>
      <c r="E30" s="24"/>
      <c r="F30" s="25"/>
      <c r="G30" s="26">
        <f>$F$16</f>
        <v>250</v>
      </c>
      <c r="H30" s="27">
        <f t="shared" si="0"/>
        <v>0</v>
      </c>
      <c r="I30" s="28"/>
      <c r="J30" s="29"/>
      <c r="K30" s="26">
        <f t="shared" si="4"/>
        <v>250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idden="1" x14ac:dyDescent="0.25">
      <c r="B31" s="33"/>
      <c r="C31" s="22"/>
      <c r="D31" s="23"/>
      <c r="E31" s="24"/>
      <c r="F31" s="25"/>
      <c r="G31" s="26">
        <f t="shared" ref="G31:G37" si="5">$F$16</f>
        <v>250</v>
      </c>
      <c r="H31" s="27">
        <f t="shared" si="0"/>
        <v>0</v>
      </c>
      <c r="I31" s="28"/>
      <c r="J31" s="29"/>
      <c r="K31" s="26">
        <f t="shared" si="4"/>
        <v>250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idden="1" x14ac:dyDescent="0.25">
      <c r="B32" s="33"/>
      <c r="C32" s="22"/>
      <c r="D32" s="23"/>
      <c r="E32" s="24"/>
      <c r="F32" s="25"/>
      <c r="G32" s="26">
        <f t="shared" si="5"/>
        <v>250</v>
      </c>
      <c r="H32" s="27">
        <f t="shared" si="0"/>
        <v>0</v>
      </c>
      <c r="I32" s="28"/>
      <c r="J32" s="29"/>
      <c r="K32" s="26">
        <f t="shared" si="4"/>
        <v>250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idden="1" x14ac:dyDescent="0.25">
      <c r="B33" s="33"/>
      <c r="C33" s="22"/>
      <c r="D33" s="23"/>
      <c r="E33" s="24"/>
      <c r="F33" s="25"/>
      <c r="G33" s="26">
        <f t="shared" si="5"/>
        <v>250</v>
      </c>
      <c r="H33" s="27">
        <f t="shared" si="0"/>
        <v>0</v>
      </c>
      <c r="I33" s="28"/>
      <c r="J33" s="29"/>
      <c r="K33" s="26">
        <f t="shared" si="4"/>
        <v>250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idden="1" x14ac:dyDescent="0.25">
      <c r="B34" s="33"/>
      <c r="C34" s="22"/>
      <c r="D34" s="23"/>
      <c r="E34" s="24"/>
      <c r="F34" s="25"/>
      <c r="G34" s="26">
        <f t="shared" si="5"/>
        <v>250</v>
      </c>
      <c r="H34" s="27">
        <f t="shared" si="0"/>
        <v>0</v>
      </c>
      <c r="I34" s="28"/>
      <c r="J34" s="29"/>
      <c r="K34" s="26">
        <f t="shared" si="4"/>
        <v>250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idden="1" x14ac:dyDescent="0.25">
      <c r="B35" s="33"/>
      <c r="C35" s="22"/>
      <c r="D35" s="23"/>
      <c r="E35" s="24"/>
      <c r="F35" s="25"/>
      <c r="G35" s="26">
        <f t="shared" si="5"/>
        <v>250</v>
      </c>
      <c r="H35" s="27">
        <f t="shared" si="0"/>
        <v>0</v>
      </c>
      <c r="I35" s="28"/>
      <c r="J35" s="29"/>
      <c r="K35" s="26">
        <f t="shared" si="4"/>
        <v>250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idden="1" x14ac:dyDescent="0.25">
      <c r="B36" s="33"/>
      <c r="C36" s="22"/>
      <c r="D36" s="23"/>
      <c r="E36" s="24"/>
      <c r="F36" s="25"/>
      <c r="G36" s="26">
        <f t="shared" si="5"/>
        <v>250</v>
      </c>
      <c r="H36" s="27">
        <f t="shared" si="0"/>
        <v>0</v>
      </c>
      <c r="I36" s="28"/>
      <c r="J36" s="29"/>
      <c r="K36" s="26">
        <f t="shared" si="4"/>
        <v>250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hidden="1" x14ac:dyDescent="0.25">
      <c r="B37" s="33"/>
      <c r="C37" s="22"/>
      <c r="D37" s="23"/>
      <c r="E37" s="24"/>
      <c r="F37" s="25"/>
      <c r="G37" s="26">
        <f t="shared" si="5"/>
        <v>250</v>
      </c>
      <c r="H37" s="27">
        <f t="shared" si="0"/>
        <v>0</v>
      </c>
      <c r="I37" s="28"/>
      <c r="J37" s="29"/>
      <c r="K37" s="26">
        <f t="shared" si="4"/>
        <v>250</v>
      </c>
      <c r="L37" s="27">
        <f t="shared" si="1"/>
        <v>0</v>
      </c>
      <c r="M37" s="28"/>
      <c r="N37" s="31">
        <f t="shared" si="2"/>
        <v>0</v>
      </c>
      <c r="O37" s="32" t="str">
        <f t="shared" si="3"/>
        <v/>
      </c>
    </row>
    <row r="38" spans="2:15" s="34" customFormat="1" x14ac:dyDescent="0.25">
      <c r="B38" s="35" t="s">
        <v>22</v>
      </c>
      <c r="C38" s="36"/>
      <c r="D38" s="37"/>
      <c r="E38" s="36"/>
      <c r="F38" s="38"/>
      <c r="G38" s="39"/>
      <c r="H38" s="40">
        <f>SUM(H21:H37)</f>
        <v>20.564999999999998</v>
      </c>
      <c r="I38" s="41"/>
      <c r="J38" s="42"/>
      <c r="K38" s="43"/>
      <c r="L38" s="40">
        <f>SUM(L21:L37)</f>
        <v>19.574367882431929</v>
      </c>
      <c r="M38" s="41"/>
      <c r="N38" s="44">
        <f t="shared" si="2"/>
        <v>-0.99063211756806879</v>
      </c>
      <c r="O38" s="45">
        <f t="shared" si="3"/>
        <v>-4.8170781306494964E-2</v>
      </c>
    </row>
    <row r="39" spans="2:15" hidden="1" x14ac:dyDescent="0.25">
      <c r="B39" s="175"/>
      <c r="C39" s="22"/>
      <c r="D39" s="56" t="s">
        <v>60</v>
      </c>
      <c r="E39" s="24"/>
      <c r="F39" s="25"/>
      <c r="G39" s="26">
        <v>1</v>
      </c>
      <c r="H39" s="27">
        <f>G39*F39</f>
        <v>0</v>
      </c>
      <c r="I39" s="28"/>
      <c r="J39" s="173"/>
      <c r="K39" s="30">
        <v>1</v>
      </c>
      <c r="L39" s="27">
        <f>K39*J39</f>
        <v>0</v>
      </c>
      <c r="M39" s="28"/>
      <c r="N39" s="31">
        <f>L39-H39</f>
        <v>0</v>
      </c>
      <c r="O39" s="32" t="str">
        <f>IF((H39)=0,"",(N39/H39))</f>
        <v/>
      </c>
    </row>
    <row r="40" spans="2:15" x14ac:dyDescent="0.25">
      <c r="B40" s="46" t="s">
        <v>23</v>
      </c>
      <c r="C40" s="22"/>
      <c r="D40" s="56" t="s">
        <v>61</v>
      </c>
      <c r="E40" s="57"/>
      <c r="F40" s="29">
        <v>-1.8E-3</v>
      </c>
      <c r="G40" s="26">
        <f>$F$16</f>
        <v>250</v>
      </c>
      <c r="H40" s="27">
        <f t="shared" ref="H40:H46" si="6">G40*F40</f>
        <v>-0.45</v>
      </c>
      <c r="I40" s="28"/>
      <c r="J40" s="29">
        <f>'[4]6. Rate Rider Calculations'!$F$20</f>
        <v>-1.0353326935341441E-3</v>
      </c>
      <c r="K40" s="26">
        <f>$F$16</f>
        <v>250</v>
      </c>
      <c r="L40" s="27">
        <f t="shared" ref="L40:L46" si="7">K40*J40</f>
        <v>-0.25883317338353601</v>
      </c>
      <c r="M40" s="28"/>
      <c r="N40" s="31">
        <f t="shared" ref="N40:N65" si="8">L40-H40</f>
        <v>0.191166826616464</v>
      </c>
      <c r="O40" s="32">
        <f t="shared" ref="O40:O45" si="9">IF((H40)=0,"",(N40/H40))</f>
        <v>-0.42481517025880888</v>
      </c>
    </row>
    <row r="41" spans="2:15" hidden="1" x14ac:dyDescent="0.25">
      <c r="B41" s="46"/>
      <c r="C41" s="22"/>
      <c r="D41" s="23" t="s">
        <v>61</v>
      </c>
      <c r="E41" s="24"/>
      <c r="F41" s="25"/>
      <c r="G41" s="26">
        <f>$F$16</f>
        <v>250</v>
      </c>
      <c r="H41" s="27">
        <f t="shared" si="6"/>
        <v>0</v>
      </c>
      <c r="I41" s="47"/>
      <c r="J41" s="29"/>
      <c r="K41" s="26">
        <f>$F$16</f>
        <v>250</v>
      </c>
      <c r="L41" s="27">
        <f t="shared" si="7"/>
        <v>0</v>
      </c>
      <c r="M41" s="48"/>
      <c r="N41" s="31">
        <f t="shared" si="8"/>
        <v>0</v>
      </c>
      <c r="O41" s="32" t="str">
        <f t="shared" si="9"/>
        <v/>
      </c>
    </row>
    <row r="42" spans="2:15" hidden="1" x14ac:dyDescent="0.25">
      <c r="B42" s="46"/>
      <c r="C42" s="22"/>
      <c r="D42" s="23" t="s">
        <v>61</v>
      </c>
      <c r="E42" s="24"/>
      <c r="F42" s="25"/>
      <c r="G42" s="26">
        <f>$F$16</f>
        <v>250</v>
      </c>
      <c r="H42" s="27">
        <f t="shared" si="6"/>
        <v>0</v>
      </c>
      <c r="I42" s="47"/>
      <c r="J42" s="29"/>
      <c r="K42" s="26">
        <f>$F$16</f>
        <v>250</v>
      </c>
      <c r="L42" s="27">
        <f t="shared" si="7"/>
        <v>0</v>
      </c>
      <c r="M42" s="48"/>
      <c r="N42" s="31">
        <f t="shared" si="8"/>
        <v>0</v>
      </c>
      <c r="O42" s="32" t="str">
        <f t="shared" si="9"/>
        <v/>
      </c>
    </row>
    <row r="43" spans="2:15" hidden="1" x14ac:dyDescent="0.25">
      <c r="B43" s="46"/>
      <c r="C43" s="22"/>
      <c r="D43" s="23"/>
      <c r="E43" s="24"/>
      <c r="F43" s="25"/>
      <c r="G43" s="26">
        <f>$F$16</f>
        <v>250</v>
      </c>
      <c r="H43" s="27">
        <f t="shared" si="6"/>
        <v>0</v>
      </c>
      <c r="I43" s="47"/>
      <c r="J43" s="29"/>
      <c r="K43" s="26">
        <f>$F$16</f>
        <v>250</v>
      </c>
      <c r="L43" s="27">
        <f t="shared" si="7"/>
        <v>0</v>
      </c>
      <c r="M43" s="48"/>
      <c r="N43" s="31">
        <f t="shared" si="8"/>
        <v>0</v>
      </c>
      <c r="O43" s="32" t="str">
        <f t="shared" si="9"/>
        <v/>
      </c>
    </row>
    <row r="44" spans="2:15" x14ac:dyDescent="0.25">
      <c r="B44" s="49" t="s">
        <v>24</v>
      </c>
      <c r="C44" s="22"/>
      <c r="D44" s="23" t="s">
        <v>61</v>
      </c>
      <c r="E44" s="24"/>
      <c r="F44" s="195">
        <v>4.0000000000000003E-5</v>
      </c>
      <c r="G44" s="26">
        <f>$F$16</f>
        <v>250</v>
      </c>
      <c r="H44" s="27">
        <f t="shared" si="6"/>
        <v>0.01</v>
      </c>
      <c r="I44" s="28"/>
      <c r="J44" s="195">
        <f>'[2]Rate Schedule '!$E$12</f>
        <v>6.9999999999999994E-5</v>
      </c>
      <c r="K44" s="26">
        <f>$F$16</f>
        <v>250</v>
      </c>
      <c r="L44" s="27">
        <f t="shared" si="7"/>
        <v>1.7499999999999998E-2</v>
      </c>
      <c r="M44" s="28"/>
      <c r="N44" s="31">
        <f t="shared" si="8"/>
        <v>7.499999999999998E-3</v>
      </c>
      <c r="O44" s="32">
        <f t="shared" si="9"/>
        <v>0.74999999999999978</v>
      </c>
    </row>
    <row r="45" spans="2:15" s="34" customFormat="1" x14ac:dyDescent="0.25">
      <c r="B45" s="180" t="s">
        <v>25</v>
      </c>
      <c r="C45" s="24"/>
      <c r="D45" s="181" t="s">
        <v>61</v>
      </c>
      <c r="E45" s="24"/>
      <c r="F45" s="182">
        <f>IF(ISBLANK(D14)=TRUE, 0, IF(D14="TOU", 0.64*$F$55+0.18*$F$56+0.18*$F$57, IF(AND(D14="non-TOU", G59&gt;0), F59,F58)))</f>
        <v>9.2460000000000001E-2</v>
      </c>
      <c r="G45" s="26">
        <f>$F$16*(1+$F$74)-$F$16</f>
        <v>12</v>
      </c>
      <c r="H45" s="183">
        <f t="shared" si="6"/>
        <v>1.1095200000000001</v>
      </c>
      <c r="I45" s="57"/>
      <c r="J45" s="184">
        <f>0.64*$F$55+0.18*$F$56+0.18*$F$57</f>
        <v>9.2460000000000001E-2</v>
      </c>
      <c r="K45" s="26">
        <f>$F$16*(1+$J$74)-$F$16</f>
        <v>11.774999999999977</v>
      </c>
      <c r="L45" s="183">
        <f t="shared" si="7"/>
        <v>1.0887164999999979</v>
      </c>
      <c r="M45" s="57"/>
      <c r="N45" s="185">
        <f t="shared" si="8"/>
        <v>-2.0803500000002195E-2</v>
      </c>
      <c r="O45" s="186">
        <f t="shared" si="9"/>
        <v>-1.8750000000001977E-2</v>
      </c>
    </row>
    <row r="46" spans="2:15" x14ac:dyDescent="0.25">
      <c r="B46" s="49" t="s">
        <v>26</v>
      </c>
      <c r="C46" s="22"/>
      <c r="D46" s="23" t="s">
        <v>60</v>
      </c>
      <c r="E46" s="24"/>
      <c r="F46" s="177">
        <v>0.79</v>
      </c>
      <c r="G46" s="26">
        <v>1</v>
      </c>
      <c r="H46" s="27">
        <f t="shared" si="6"/>
        <v>0.79</v>
      </c>
      <c r="I46" s="28"/>
      <c r="J46" s="177">
        <v>0.79</v>
      </c>
      <c r="K46" s="26">
        <v>1</v>
      </c>
      <c r="L46" s="27">
        <f t="shared" si="7"/>
        <v>0.79</v>
      </c>
      <c r="M46" s="28"/>
      <c r="N46" s="31">
        <f t="shared" si="8"/>
        <v>0</v>
      </c>
      <c r="O46" s="32"/>
    </row>
    <row r="47" spans="2:15" ht="25.5" x14ac:dyDescent="0.25">
      <c r="B47" s="50" t="s">
        <v>27</v>
      </c>
      <c r="C47" s="51"/>
      <c r="D47" s="51"/>
      <c r="E47" s="51"/>
      <c r="F47" s="52"/>
      <c r="G47" s="53"/>
      <c r="H47" s="54">
        <f>SUM(H39:H46)+H38</f>
        <v>22.024519999999999</v>
      </c>
      <c r="I47" s="41"/>
      <c r="J47" s="53"/>
      <c r="K47" s="55"/>
      <c r="L47" s="54">
        <f>SUM(L39:L46)+L38</f>
        <v>21.211751209048391</v>
      </c>
      <c r="M47" s="41"/>
      <c r="N47" s="44">
        <f t="shared" si="8"/>
        <v>-0.81276879095160837</v>
      </c>
      <c r="O47" s="45">
        <f t="shared" ref="O47:O65" si="10">IF((H47)=0,"",(N47/H47))</f>
        <v>-3.6902905986219377E-2</v>
      </c>
    </row>
    <row r="48" spans="2:15" x14ac:dyDescent="0.25">
      <c r="B48" s="28" t="s">
        <v>28</v>
      </c>
      <c r="C48" s="28"/>
      <c r="D48" s="56" t="s">
        <v>61</v>
      </c>
      <c r="E48" s="57"/>
      <c r="F48" s="29">
        <v>7.3000000000000001E-3</v>
      </c>
      <c r="G48" s="58">
        <f>F16*(1+F74)</f>
        <v>262</v>
      </c>
      <c r="H48" s="27">
        <f>G48*F48</f>
        <v>1.9126000000000001</v>
      </c>
      <c r="I48" s="28"/>
      <c r="J48" s="29">
        <f>'[5]13. Final 2015 RTS Rates'!$F$26</f>
        <v>7.5166324038951132E-3</v>
      </c>
      <c r="K48" s="59">
        <f>F16*(1+J74)</f>
        <v>261.77499999999998</v>
      </c>
      <c r="L48" s="27">
        <f>K48*J48</f>
        <v>1.967666447529643</v>
      </c>
      <c r="M48" s="28"/>
      <c r="N48" s="31">
        <f t="shared" si="8"/>
        <v>5.5066447529642959E-2</v>
      </c>
      <c r="O48" s="32">
        <f t="shared" si="10"/>
        <v>2.8791408307875643E-2</v>
      </c>
    </row>
    <row r="49" spans="2:19" x14ac:dyDescent="0.25">
      <c r="B49" s="60" t="s">
        <v>29</v>
      </c>
      <c r="C49" s="28"/>
      <c r="D49" s="56" t="s">
        <v>61</v>
      </c>
      <c r="E49" s="57"/>
      <c r="F49" s="29">
        <v>5.7000000000000002E-3</v>
      </c>
      <c r="G49" s="58">
        <f>G48</f>
        <v>262</v>
      </c>
      <c r="H49" s="27">
        <f>G49*F49</f>
        <v>1.4934000000000001</v>
      </c>
      <c r="I49" s="28"/>
      <c r="J49" s="29">
        <f>'[5]13. Final 2015 RTS Rates'!$H$26</f>
        <v>5.857883813739073E-3</v>
      </c>
      <c r="K49" s="59">
        <f>K48</f>
        <v>261.77499999999998</v>
      </c>
      <c r="L49" s="27">
        <f>K49*J49</f>
        <v>1.5334475353415458</v>
      </c>
      <c r="M49" s="28"/>
      <c r="N49" s="31">
        <f t="shared" si="8"/>
        <v>4.0047535341545704E-2</v>
      </c>
      <c r="O49" s="32">
        <f t="shared" si="10"/>
        <v>2.6816348829212334E-2</v>
      </c>
    </row>
    <row r="50" spans="2:19" x14ac:dyDescent="0.25">
      <c r="B50" s="50" t="s">
        <v>30</v>
      </c>
      <c r="C50" s="36"/>
      <c r="D50" s="36"/>
      <c r="E50" s="36"/>
      <c r="F50" s="61"/>
      <c r="G50" s="53"/>
      <c r="H50" s="54">
        <f>SUM(H47:H49)</f>
        <v>25.430520000000001</v>
      </c>
      <c r="I50" s="62"/>
      <c r="J50" s="63"/>
      <c r="K50" s="64"/>
      <c r="L50" s="54">
        <f>SUM(L47:L49)</f>
        <v>24.712865191919576</v>
      </c>
      <c r="M50" s="62"/>
      <c r="N50" s="44">
        <f t="shared" si="8"/>
        <v>-0.71765480808042525</v>
      </c>
      <c r="O50" s="45">
        <f t="shared" si="10"/>
        <v>-2.8220217599971422E-2</v>
      </c>
    </row>
    <row r="51" spans="2:19" x14ac:dyDescent="0.25">
      <c r="B51" s="65" t="s">
        <v>31</v>
      </c>
      <c r="C51" s="22"/>
      <c r="D51" s="23" t="s">
        <v>61</v>
      </c>
      <c r="E51" s="24"/>
      <c r="F51" s="66">
        <v>4.4000000000000003E-3</v>
      </c>
      <c r="G51" s="58">
        <f>G49</f>
        <v>262</v>
      </c>
      <c r="H51" s="67">
        <f t="shared" ref="H51:H57" si="11">G51*F51</f>
        <v>1.1528</v>
      </c>
      <c r="I51" s="28"/>
      <c r="J51" s="66">
        <v>4.4000000000000003E-3</v>
      </c>
      <c r="K51" s="59">
        <f>K49</f>
        <v>261.77499999999998</v>
      </c>
      <c r="L51" s="67">
        <f t="shared" ref="L51:L57" si="12">K51*J51</f>
        <v>1.15181</v>
      </c>
      <c r="M51" s="28"/>
      <c r="N51" s="31">
        <f t="shared" si="8"/>
        <v>-9.900000000000464E-4</v>
      </c>
      <c r="O51" s="68">
        <f t="shared" si="10"/>
        <v>-8.5877862595423867E-4</v>
      </c>
    </row>
    <row r="52" spans="2:19" x14ac:dyDescent="0.25">
      <c r="B52" s="65" t="s">
        <v>32</v>
      </c>
      <c r="C52" s="22"/>
      <c r="D52" s="23" t="s">
        <v>61</v>
      </c>
      <c r="E52" s="24"/>
      <c r="F52" s="66">
        <v>1.2999999999999999E-3</v>
      </c>
      <c r="G52" s="58">
        <f>G49</f>
        <v>262</v>
      </c>
      <c r="H52" s="67">
        <f t="shared" si="11"/>
        <v>0.34059999999999996</v>
      </c>
      <c r="I52" s="28"/>
      <c r="J52" s="66">
        <v>1.2999999999999999E-3</v>
      </c>
      <c r="K52" s="59">
        <f>K49</f>
        <v>261.77499999999998</v>
      </c>
      <c r="L52" s="67">
        <f t="shared" si="12"/>
        <v>0.34030749999999993</v>
      </c>
      <c r="M52" s="28"/>
      <c r="N52" s="31">
        <f t="shared" si="8"/>
        <v>-2.9250000000002885E-4</v>
      </c>
      <c r="O52" s="68">
        <f t="shared" si="10"/>
        <v>-8.5877862595428324E-4</v>
      </c>
    </row>
    <row r="53" spans="2:19" x14ac:dyDescent="0.25">
      <c r="B53" s="22" t="s">
        <v>33</v>
      </c>
      <c r="C53" s="22"/>
      <c r="D53" s="23" t="s">
        <v>60</v>
      </c>
      <c r="E53" s="24"/>
      <c r="F53" s="176">
        <v>0.25</v>
      </c>
      <c r="G53" s="26">
        <v>1</v>
      </c>
      <c r="H53" s="67">
        <f t="shared" si="11"/>
        <v>0.25</v>
      </c>
      <c r="I53" s="28"/>
      <c r="J53" s="176">
        <v>0.25</v>
      </c>
      <c r="K53" s="30">
        <v>1</v>
      </c>
      <c r="L53" s="67">
        <f t="shared" si="12"/>
        <v>0.25</v>
      </c>
      <c r="M53" s="28"/>
      <c r="N53" s="31">
        <f t="shared" si="8"/>
        <v>0</v>
      </c>
      <c r="O53" s="68">
        <f t="shared" si="10"/>
        <v>0</v>
      </c>
    </row>
    <row r="54" spans="2:19" x14ac:dyDescent="0.25">
      <c r="B54" s="22" t="s">
        <v>34</v>
      </c>
      <c r="C54" s="22"/>
      <c r="D54" s="23" t="s">
        <v>61</v>
      </c>
      <c r="E54" s="24"/>
      <c r="F54" s="66">
        <v>7.0000000000000001E-3</v>
      </c>
      <c r="G54" s="69">
        <f>F16</f>
        <v>250</v>
      </c>
      <c r="H54" s="67">
        <f t="shared" si="11"/>
        <v>1.75</v>
      </c>
      <c r="I54" s="28"/>
      <c r="J54" s="66">
        <v>7.0000000000000001E-3</v>
      </c>
      <c r="K54" s="70">
        <f>F16</f>
        <v>250</v>
      </c>
      <c r="L54" s="67">
        <f t="shared" si="12"/>
        <v>1.75</v>
      </c>
      <c r="M54" s="28"/>
      <c r="N54" s="31">
        <f t="shared" si="8"/>
        <v>0</v>
      </c>
      <c r="O54" s="68">
        <f t="shared" si="10"/>
        <v>0</v>
      </c>
    </row>
    <row r="55" spans="2:19" x14ac:dyDescent="0.25">
      <c r="B55" s="49" t="s">
        <v>35</v>
      </c>
      <c r="C55" s="22"/>
      <c r="D55" s="23" t="s">
        <v>61</v>
      </c>
      <c r="E55" s="24"/>
      <c r="F55" s="66">
        <v>7.4999999999999997E-2</v>
      </c>
      <c r="G55" s="69">
        <f>0.64*$F$16</f>
        <v>160</v>
      </c>
      <c r="H55" s="67">
        <f t="shared" si="11"/>
        <v>12</v>
      </c>
      <c r="I55" s="28"/>
      <c r="J55" s="66">
        <v>7.4999999999999997E-2</v>
      </c>
      <c r="K55" s="69">
        <f>G55</f>
        <v>160</v>
      </c>
      <c r="L55" s="67">
        <f t="shared" si="12"/>
        <v>12</v>
      </c>
      <c r="M55" s="28"/>
      <c r="N55" s="31">
        <f t="shared" si="8"/>
        <v>0</v>
      </c>
      <c r="O55" s="68">
        <f t="shared" si="10"/>
        <v>0</v>
      </c>
      <c r="S55" s="72"/>
    </row>
    <row r="56" spans="2:19" x14ac:dyDescent="0.25">
      <c r="B56" s="49" t="s">
        <v>36</v>
      </c>
      <c r="C56" s="22"/>
      <c r="D56" s="23" t="s">
        <v>61</v>
      </c>
      <c r="E56" s="24"/>
      <c r="F56" s="66">
        <v>0.112</v>
      </c>
      <c r="G56" s="69">
        <f>0.18*$F$16</f>
        <v>45</v>
      </c>
      <c r="H56" s="67">
        <f t="shared" si="11"/>
        <v>5.04</v>
      </c>
      <c r="I56" s="28"/>
      <c r="J56" s="66">
        <v>0.112</v>
      </c>
      <c r="K56" s="69">
        <f>G56</f>
        <v>45</v>
      </c>
      <c r="L56" s="67">
        <f t="shared" si="12"/>
        <v>5.04</v>
      </c>
      <c r="M56" s="28"/>
      <c r="N56" s="31">
        <f t="shared" si="8"/>
        <v>0</v>
      </c>
      <c r="O56" s="68">
        <f t="shared" si="10"/>
        <v>0</v>
      </c>
      <c r="S56" s="72"/>
    </row>
    <row r="57" spans="2:19" x14ac:dyDescent="0.25">
      <c r="B57" s="12" t="s">
        <v>37</v>
      </c>
      <c r="C57" s="22"/>
      <c r="D57" s="23" t="s">
        <v>61</v>
      </c>
      <c r="E57" s="24"/>
      <c r="F57" s="66">
        <v>0.13500000000000001</v>
      </c>
      <c r="G57" s="69">
        <f>0.18*$F$16</f>
        <v>45</v>
      </c>
      <c r="H57" s="67">
        <f t="shared" si="11"/>
        <v>6.0750000000000002</v>
      </c>
      <c r="I57" s="28"/>
      <c r="J57" s="66">
        <v>0.13500000000000001</v>
      </c>
      <c r="K57" s="69">
        <f>G57</f>
        <v>45</v>
      </c>
      <c r="L57" s="67">
        <f t="shared" si="12"/>
        <v>6.0750000000000002</v>
      </c>
      <c r="M57" s="28"/>
      <c r="N57" s="31">
        <f t="shared" si="8"/>
        <v>0</v>
      </c>
      <c r="O57" s="68">
        <f t="shared" si="10"/>
        <v>0</v>
      </c>
      <c r="S57" s="72"/>
    </row>
    <row r="58" spans="2:19" s="73" customFormat="1" x14ac:dyDescent="0.2">
      <c r="B58" s="74" t="s">
        <v>38</v>
      </c>
      <c r="C58" s="75"/>
      <c r="D58" s="76" t="s">
        <v>61</v>
      </c>
      <c r="E58" s="77"/>
      <c r="F58" s="66">
        <v>8.5999999999999993E-2</v>
      </c>
      <c r="G58" s="78">
        <f>IF(AND($T$1=1, F16&gt;=600), 600, IF(AND($T$1=1, AND(F16&lt;600, F16&gt;=0)), F16, IF(AND($T$1=2, F16&gt;=1000), 1000, IF(AND($T$1=2, AND(F16&lt;1000, F16&gt;=0)), F16))))</f>
        <v>250</v>
      </c>
      <c r="H58" s="67">
        <f>G58*F58</f>
        <v>21.5</v>
      </c>
      <c r="I58" s="79"/>
      <c r="J58" s="66">
        <v>8.5999999999999993E-2</v>
      </c>
      <c r="K58" s="78">
        <f>G58</f>
        <v>250</v>
      </c>
      <c r="L58" s="67">
        <f>K58*J58</f>
        <v>21.5</v>
      </c>
      <c r="M58" s="79"/>
      <c r="N58" s="80">
        <f t="shared" si="8"/>
        <v>0</v>
      </c>
      <c r="O58" s="68">
        <f t="shared" si="10"/>
        <v>0</v>
      </c>
    </row>
    <row r="59" spans="2:19" s="73" customFormat="1" ht="15.75" thickBot="1" x14ac:dyDescent="0.25">
      <c r="B59" s="74" t="s">
        <v>39</v>
      </c>
      <c r="C59" s="75"/>
      <c r="D59" s="76" t="s">
        <v>61</v>
      </c>
      <c r="E59" s="77"/>
      <c r="F59" s="66">
        <v>0.10100000000000001</v>
      </c>
      <c r="G59" s="78">
        <f>IF(AND($T$1=1, F16&gt;=600), F16-600, IF(AND($T$1=1, AND(F16&lt;600, F16&gt;=0)), 0, IF(AND($T$1=2, F16&gt;=1000), F16-1000, IF(AND($T$1=2, AND(F16&lt;1000, F16&gt;=0)), 0))))</f>
        <v>0</v>
      </c>
      <c r="H59" s="67">
        <f>G59*F59</f>
        <v>0</v>
      </c>
      <c r="I59" s="79"/>
      <c r="J59" s="66">
        <v>0.10100000000000001</v>
      </c>
      <c r="K59" s="78">
        <f>G59</f>
        <v>0</v>
      </c>
      <c r="L59" s="67">
        <f>K59*J59</f>
        <v>0</v>
      </c>
      <c r="M59" s="79"/>
      <c r="N59" s="80">
        <f t="shared" si="8"/>
        <v>0</v>
      </c>
      <c r="O59" s="68" t="str">
        <f t="shared" si="10"/>
        <v/>
      </c>
    </row>
    <row r="60" spans="2:19" ht="8.25" customHeight="1" thickBot="1" x14ac:dyDescent="0.3">
      <c r="B60" s="81"/>
      <c r="C60" s="82"/>
      <c r="D60" s="83"/>
      <c r="E60" s="82"/>
      <c r="F60" s="84"/>
      <c r="G60" s="85"/>
      <c r="H60" s="86"/>
      <c r="I60" s="87"/>
      <c r="J60" s="84"/>
      <c r="K60" s="88"/>
      <c r="L60" s="86"/>
      <c r="M60" s="87"/>
      <c r="N60" s="89"/>
      <c r="O60" s="90"/>
    </row>
    <row r="61" spans="2:19" x14ac:dyDescent="0.25">
      <c r="B61" s="91" t="s">
        <v>40</v>
      </c>
      <c r="C61" s="22"/>
      <c r="D61" s="22"/>
      <c r="E61" s="22"/>
      <c r="F61" s="92"/>
      <c r="G61" s="93"/>
      <c r="H61" s="94">
        <f>SUM(H51:H57,H50)</f>
        <v>52.038920000000005</v>
      </c>
      <c r="I61" s="95"/>
      <c r="J61" s="96"/>
      <c r="K61" s="96"/>
      <c r="L61" s="189">
        <f>SUM(L51:L57,L50)</f>
        <v>51.319982691919577</v>
      </c>
      <c r="M61" s="97"/>
      <c r="N61" s="98">
        <f>L61-H61</f>
        <v>-0.71893730808042733</v>
      </c>
      <c r="O61" s="99">
        <f>IF((H61)=0,"",(N61/H61))</f>
        <v>-1.381537718462311E-2</v>
      </c>
      <c r="S61" s="72"/>
    </row>
    <row r="62" spans="2:19" x14ac:dyDescent="0.25">
      <c r="B62" s="100" t="s">
        <v>41</v>
      </c>
      <c r="C62" s="22"/>
      <c r="D62" s="22"/>
      <c r="E62" s="22"/>
      <c r="F62" s="101">
        <v>0.13</v>
      </c>
      <c r="G62" s="102"/>
      <c r="H62" s="103">
        <f>H61*F62</f>
        <v>6.7650596000000007</v>
      </c>
      <c r="I62" s="104"/>
      <c r="J62" s="105">
        <v>0.13</v>
      </c>
      <c r="K62" s="104"/>
      <c r="L62" s="106">
        <f>L61*J62</f>
        <v>6.6715977499495454</v>
      </c>
      <c r="M62" s="107"/>
      <c r="N62" s="108">
        <f t="shared" si="8"/>
        <v>-9.3461850050455375E-2</v>
      </c>
      <c r="O62" s="109">
        <f t="shared" si="10"/>
        <v>-1.3815377184623084E-2</v>
      </c>
      <c r="S62" s="72"/>
    </row>
    <row r="63" spans="2:19" x14ac:dyDescent="0.25">
      <c r="B63" s="110" t="s">
        <v>42</v>
      </c>
      <c r="C63" s="22"/>
      <c r="D63" s="22"/>
      <c r="E63" s="22"/>
      <c r="F63" s="111"/>
      <c r="G63" s="102"/>
      <c r="H63" s="103">
        <f>H61+H62</f>
        <v>58.803979600000005</v>
      </c>
      <c r="I63" s="104"/>
      <c r="J63" s="104"/>
      <c r="K63" s="104"/>
      <c r="L63" s="106">
        <f>L61+L62</f>
        <v>57.991580441869125</v>
      </c>
      <c r="M63" s="107"/>
      <c r="N63" s="108">
        <f t="shared" si="8"/>
        <v>-0.81239915813088004</v>
      </c>
      <c r="O63" s="109">
        <f t="shared" si="10"/>
        <v>-1.3815377184623062E-2</v>
      </c>
      <c r="S63" s="72"/>
    </row>
    <row r="64" spans="2:19" ht="15.75" customHeight="1" x14ac:dyDescent="0.25">
      <c r="B64" s="240" t="s">
        <v>43</v>
      </c>
      <c r="C64" s="240"/>
      <c r="D64" s="240"/>
      <c r="E64" s="22"/>
      <c r="F64" s="111"/>
      <c r="G64" s="102"/>
      <c r="H64" s="112">
        <f>ROUND(-H63*10%,2)</f>
        <v>-5.88</v>
      </c>
      <c r="I64" s="104"/>
      <c r="J64" s="104"/>
      <c r="K64" s="104"/>
      <c r="L64" s="113">
        <f>ROUND(-L63*10%,2)</f>
        <v>-5.8</v>
      </c>
      <c r="M64" s="107"/>
      <c r="N64" s="114">
        <f t="shared" si="8"/>
        <v>8.0000000000000071E-2</v>
      </c>
      <c r="O64" s="115">
        <f t="shared" si="10"/>
        <v>-1.360544217687076E-2</v>
      </c>
    </row>
    <row r="65" spans="1:15" ht="15.75" thickBot="1" x14ac:dyDescent="0.3">
      <c r="B65" s="246" t="s">
        <v>44</v>
      </c>
      <c r="C65" s="246"/>
      <c r="D65" s="246"/>
      <c r="E65" s="116"/>
      <c r="F65" s="117"/>
      <c r="G65" s="118"/>
      <c r="H65" s="119">
        <f>H63+H64</f>
        <v>52.923979600000003</v>
      </c>
      <c r="I65" s="120"/>
      <c r="J65" s="120"/>
      <c r="K65" s="120"/>
      <c r="L65" s="121">
        <f>L63+L64</f>
        <v>52.191580441869128</v>
      </c>
      <c r="M65" s="122"/>
      <c r="N65" s="123">
        <f t="shared" si="8"/>
        <v>-0.73239915813087464</v>
      </c>
      <c r="O65" s="124">
        <f t="shared" si="10"/>
        <v>-1.3838701542596669E-2</v>
      </c>
    </row>
    <row r="66" spans="1:15" s="73" customFormat="1" ht="8.25" customHeight="1" thickBot="1" x14ac:dyDescent="0.25">
      <c r="B66" s="125"/>
      <c r="C66" s="126"/>
      <c r="D66" s="127"/>
      <c r="E66" s="126"/>
      <c r="F66" s="84"/>
      <c r="G66" s="128"/>
      <c r="H66" s="86"/>
      <c r="I66" s="129"/>
      <c r="J66" s="84"/>
      <c r="K66" s="130"/>
      <c r="L66" s="86"/>
      <c r="M66" s="129"/>
      <c r="N66" s="131"/>
      <c r="O66" s="90"/>
    </row>
    <row r="67" spans="1:15" s="73" customFormat="1" ht="12.75" x14ac:dyDescent="0.2">
      <c r="B67" s="132" t="s">
        <v>45</v>
      </c>
      <c r="C67" s="75"/>
      <c r="D67" s="75"/>
      <c r="E67" s="75"/>
      <c r="F67" s="133"/>
      <c r="G67" s="134"/>
      <c r="H67" s="135">
        <f>SUM(H58:H59,H50,H51:H54)</f>
        <v>50.423920000000003</v>
      </c>
      <c r="I67" s="136"/>
      <c r="J67" s="137"/>
      <c r="K67" s="137"/>
      <c r="L67" s="188">
        <f>SUM(L58:L59,L50,L51:L54)</f>
        <v>49.704982691919575</v>
      </c>
      <c r="M67" s="138"/>
      <c r="N67" s="139">
        <f>L67-H67</f>
        <v>-0.71893730808042733</v>
      </c>
      <c r="O67" s="99">
        <f>IF((H67)=0,"",(N67/H67))</f>
        <v>-1.4257862301868384E-2</v>
      </c>
    </row>
    <row r="68" spans="1:15" s="73" customFormat="1" ht="12.75" x14ac:dyDescent="0.2">
      <c r="B68" s="140" t="s">
        <v>41</v>
      </c>
      <c r="C68" s="75"/>
      <c r="D68" s="75"/>
      <c r="E68" s="75"/>
      <c r="F68" s="141">
        <v>0.13</v>
      </c>
      <c r="G68" s="134"/>
      <c r="H68" s="142">
        <f>H67*F68</f>
        <v>6.5551096000000006</v>
      </c>
      <c r="I68" s="143"/>
      <c r="J68" s="144">
        <v>0.13</v>
      </c>
      <c r="K68" s="145"/>
      <c r="L68" s="146">
        <f>L67*J68</f>
        <v>6.4616477499495453</v>
      </c>
      <c r="M68" s="147"/>
      <c r="N68" s="148">
        <f>L68-H68</f>
        <v>-9.3461850050455375E-2</v>
      </c>
      <c r="O68" s="109">
        <f>IF((H68)=0,"",(N68/H68))</f>
        <v>-1.4257862301868356E-2</v>
      </c>
    </row>
    <row r="69" spans="1:15" s="73" customFormat="1" ht="12.75" x14ac:dyDescent="0.2">
      <c r="B69" s="149" t="s">
        <v>42</v>
      </c>
      <c r="C69" s="75"/>
      <c r="D69" s="75"/>
      <c r="E69" s="75"/>
      <c r="F69" s="150"/>
      <c r="G69" s="151"/>
      <c r="H69" s="142">
        <f>H67+H68</f>
        <v>56.979029600000004</v>
      </c>
      <c r="I69" s="143"/>
      <c r="J69" s="143"/>
      <c r="K69" s="143"/>
      <c r="L69" s="146">
        <f>L67+L68</f>
        <v>56.166630441869117</v>
      </c>
      <c r="M69" s="147"/>
      <c r="N69" s="148">
        <f>L69-H69</f>
        <v>-0.81239915813088714</v>
      </c>
      <c r="O69" s="109">
        <f>IF((H69)=0,"",(N69/H69))</f>
        <v>-1.4257862301868459E-2</v>
      </c>
    </row>
    <row r="70" spans="1:15" s="73" customFormat="1" ht="15.75" customHeight="1" x14ac:dyDescent="0.2">
      <c r="B70" s="241" t="s">
        <v>43</v>
      </c>
      <c r="C70" s="241"/>
      <c r="D70" s="241"/>
      <c r="E70" s="75"/>
      <c r="F70" s="150"/>
      <c r="G70" s="151"/>
      <c r="H70" s="152">
        <f>ROUND(-H69*10%,2)</f>
        <v>-5.7</v>
      </c>
      <c r="I70" s="143"/>
      <c r="J70" s="143"/>
      <c r="K70" s="143"/>
      <c r="L70" s="153">
        <f>ROUND(-L69*10%,2)</f>
        <v>-5.62</v>
      </c>
      <c r="M70" s="147"/>
      <c r="N70" s="154">
        <f>L70-H70</f>
        <v>8.0000000000000071E-2</v>
      </c>
      <c r="O70" s="115">
        <f>IF((H70)=0,"",(N70/H70))</f>
        <v>-1.4035087719298258E-2</v>
      </c>
    </row>
    <row r="71" spans="1:15" s="73" customFormat="1" ht="13.5" thickBot="1" x14ac:dyDescent="0.25">
      <c r="B71" s="233" t="s">
        <v>46</v>
      </c>
      <c r="C71" s="233"/>
      <c r="D71" s="233"/>
      <c r="E71" s="155"/>
      <c r="F71" s="156"/>
      <c r="G71" s="157"/>
      <c r="H71" s="158">
        <f>SUM(H69:H70)</f>
        <v>51.279029600000001</v>
      </c>
      <c r="I71" s="159"/>
      <c r="J71" s="159"/>
      <c r="K71" s="159"/>
      <c r="L71" s="160">
        <f>SUM(L69:L70)</f>
        <v>50.546630441869119</v>
      </c>
      <c r="M71" s="161"/>
      <c r="N71" s="162">
        <f>L71-H71</f>
        <v>-0.73239915813088174</v>
      </c>
      <c r="O71" s="163">
        <f>IF((H71)=0,"",(N71/H71))</f>
        <v>-1.4282625155817725E-2</v>
      </c>
    </row>
    <row r="72" spans="1:15" s="73" customFormat="1" ht="8.25" customHeight="1" thickBot="1" x14ac:dyDescent="0.25">
      <c r="B72" s="125"/>
      <c r="C72" s="126"/>
      <c r="D72" s="127"/>
      <c r="E72" s="126"/>
      <c r="F72" s="164"/>
      <c r="G72" s="165"/>
      <c r="H72" s="166"/>
      <c r="I72" s="167"/>
      <c r="J72" s="164"/>
      <c r="K72" s="128"/>
      <c r="L72" s="168"/>
      <c r="M72" s="129"/>
      <c r="N72" s="169"/>
      <c r="O72" s="90"/>
    </row>
    <row r="73" spans="1:15" ht="10.5" customHeight="1" x14ac:dyDescent="0.25">
      <c r="L73" s="72"/>
    </row>
    <row r="74" spans="1:15" x14ac:dyDescent="0.25">
      <c r="B74" s="13" t="s">
        <v>47</v>
      </c>
      <c r="F74" s="170">
        <v>4.8000000000000001E-2</v>
      </c>
      <c r="J74" s="170">
        <f>'Res (100kWh)'!$J$74</f>
        <v>4.7100000000000003E-2</v>
      </c>
    </row>
    <row r="75" spans="1:15" ht="10.5" customHeight="1" x14ac:dyDescent="0.25"/>
    <row r="76" spans="1:15" x14ac:dyDescent="0.25">
      <c r="A76" s="171" t="s">
        <v>48</v>
      </c>
    </row>
    <row r="77" spans="1:15" ht="10.5" customHeight="1" x14ac:dyDescent="0.25"/>
    <row r="78" spans="1:15" x14ac:dyDescent="0.25">
      <c r="A78" s="7" t="s">
        <v>49</v>
      </c>
    </row>
    <row r="79" spans="1:15" x14ac:dyDescent="0.25">
      <c r="A79" s="7" t="s">
        <v>50</v>
      </c>
    </row>
    <row r="81" spans="1:2" x14ac:dyDescent="0.25">
      <c r="A81" s="12" t="s">
        <v>51</v>
      </c>
    </row>
    <row r="82" spans="1:2" x14ac:dyDescent="0.25">
      <c r="A82" s="12" t="s">
        <v>52</v>
      </c>
    </row>
    <row r="84" spans="1:2" x14ac:dyDescent="0.25">
      <c r="A84" s="7" t="s">
        <v>53</v>
      </c>
    </row>
    <row r="85" spans="1:2" x14ac:dyDescent="0.25">
      <c r="A85" s="7" t="s">
        <v>54</v>
      </c>
    </row>
    <row r="86" spans="1:2" x14ac:dyDescent="0.25">
      <c r="A86" s="7" t="s">
        <v>55</v>
      </c>
    </row>
    <row r="87" spans="1:2" x14ac:dyDescent="0.25">
      <c r="A87" s="7" t="s">
        <v>56</v>
      </c>
    </row>
    <row r="88" spans="1:2" x14ac:dyDescent="0.25">
      <c r="A88" s="7" t="s">
        <v>57</v>
      </c>
    </row>
    <row r="90" spans="1:2" x14ac:dyDescent="0.25">
      <c r="A90" s="172"/>
      <c r="B90" s="7" t="s">
        <v>58</v>
      </c>
    </row>
  </sheetData>
  <mergeCells count="17">
    <mergeCell ref="B64:D64"/>
    <mergeCell ref="B65:D65"/>
    <mergeCell ref="B70:D70"/>
    <mergeCell ref="B71:D71"/>
    <mergeCell ref="D12:O12"/>
    <mergeCell ref="F18:H18"/>
    <mergeCell ref="J18:L18"/>
    <mergeCell ref="N18:O18"/>
    <mergeCell ref="D19:D20"/>
    <mergeCell ref="N19:N20"/>
    <mergeCell ref="O19:O20"/>
    <mergeCell ref="B9:O9"/>
    <mergeCell ref="N1:O1"/>
    <mergeCell ref="N2:O2"/>
    <mergeCell ref="N3:O3"/>
    <mergeCell ref="N5:O5"/>
    <mergeCell ref="B8:O8"/>
  </mergeCells>
  <dataValidations count="3">
    <dataValidation type="list" allowBlank="1" showInputMessage="1" showErrorMessage="1" sqref="E48:E49 E51:E60 E39:E46 E21:E37 E72 E66">
      <formula1>#REF!</formula1>
    </dataValidation>
    <dataValidation type="list" allowBlank="1" showInputMessage="1" showErrorMessage="1" prompt="Select Charge Unit - monthly, per kWh, per kW" sqref="D48:D49 D66 D72 D51:D60 D39:D46 D21:D37">
      <formula1>"Monthly, per kWh, per kW"</formula1>
    </dataValidation>
    <dataValidation type="list" allowBlank="1" showInputMessage="1" showErrorMessage="1" sqref="D14">
      <formula1>"TOU, non-TOU"</formula1>
    </dataValidation>
  </dataValidations>
  <pageMargins left="0.7" right="0.7" top="0.75" bottom="0.75" header="0.3" footer="0.3"/>
  <pageSetup scale="59" fitToHeight="0" orientation="portrait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3">
    <tabColor theme="0" tint="-0.14999847407452621"/>
    <pageSetUpPr fitToPage="1"/>
  </sheetPr>
  <dimension ref="A1:T89"/>
  <sheetViews>
    <sheetView showGridLines="0" workbookViewId="0">
      <selection activeCell="L1" sqref="L1:O5"/>
    </sheetView>
  </sheetViews>
  <sheetFormatPr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9" style="7" bestFit="1" customWidth="1"/>
    <col min="8" max="8" width="14.28515625" style="7" bestFit="1" customWidth="1"/>
    <col min="9" max="9" width="2.85546875" style="7" customWidth="1"/>
    <col min="10" max="10" width="12.140625" style="7" customWidth="1"/>
    <col min="11" max="11" width="9" style="7" bestFit="1" customWidth="1"/>
    <col min="12" max="12" width="14.28515625" style="7" bestFit="1" customWidth="1"/>
    <col min="13" max="13" width="2.85546875" style="7" customWidth="1"/>
    <col min="14" max="14" width="12.7109375" style="7" bestFit="1" customWidth="1"/>
    <col min="15" max="15" width="10.85546875" style="7" bestFit="1" customWidth="1"/>
    <col min="16" max="16" width="3.8554687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248" t="str">
        <f>'Res (100kWh)'!$N$1:$O$1</f>
        <v>EB-2014-0099</v>
      </c>
      <c r="O1" s="248"/>
      <c r="P1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94</v>
      </c>
      <c r="N2" s="249">
        <f>'Res (100kWh)'!$N$2:$O$2</f>
        <v>8</v>
      </c>
      <c r="O2" s="249"/>
      <c r="P2"/>
    </row>
    <row r="3" spans="1:20" s="2" customFormat="1" ht="15" customHeight="1" x14ac:dyDescent="0.25">
      <c r="C3" s="6"/>
      <c r="D3" s="6"/>
      <c r="E3" s="6"/>
      <c r="L3" s="3" t="s">
        <v>95</v>
      </c>
      <c r="N3" s="248" t="str">
        <f>'Res (100kWh)'!$N$3:$O$3</f>
        <v>8-B</v>
      </c>
      <c r="O3" s="248"/>
      <c r="P3"/>
    </row>
    <row r="4" spans="1:20" s="2" customFormat="1" ht="9" customHeight="1" x14ac:dyDescent="0.25">
      <c r="L4" s="3"/>
      <c r="N4" s="232"/>
      <c r="O4"/>
      <c r="P4"/>
    </row>
    <row r="5" spans="1:20" s="2" customFormat="1" x14ac:dyDescent="0.25">
      <c r="L5" s="3" t="s">
        <v>75</v>
      </c>
      <c r="N5" s="248">
        <f>'Res (100kWh)'!$N$5:$O$5</f>
        <v>42118</v>
      </c>
      <c r="O5" s="248"/>
      <c r="P5"/>
    </row>
    <row r="6" spans="1:20" s="2" customFormat="1" ht="15" customHeight="1" x14ac:dyDescent="0.25">
      <c r="N6" s="7"/>
      <c r="O6"/>
      <c r="P6"/>
    </row>
    <row r="7" spans="1:20" ht="7.5" customHeight="1" x14ac:dyDescent="0.25">
      <c r="L7"/>
      <c r="M7"/>
      <c r="N7"/>
      <c r="O7"/>
      <c r="P7"/>
    </row>
    <row r="8" spans="1:20" ht="18.75" customHeight="1" x14ac:dyDescent="0.25">
      <c r="B8" s="247" t="s">
        <v>1</v>
      </c>
      <c r="C8" s="247"/>
      <c r="D8" s="247"/>
      <c r="E8" s="247"/>
      <c r="F8" s="247"/>
      <c r="G8" s="247"/>
      <c r="H8" s="247"/>
      <c r="I8" s="247"/>
      <c r="J8" s="247"/>
      <c r="K8" s="247"/>
      <c r="L8" s="247"/>
      <c r="M8" s="247"/>
      <c r="N8" s="247"/>
      <c r="O8" s="247"/>
      <c r="P8"/>
    </row>
    <row r="9" spans="1:20" ht="18.75" customHeight="1" x14ac:dyDescent="0.25">
      <c r="B9" s="247" t="s">
        <v>2</v>
      </c>
      <c r="C9" s="247"/>
      <c r="D9" s="247"/>
      <c r="E9" s="247"/>
      <c r="F9" s="247"/>
      <c r="G9" s="247"/>
      <c r="H9" s="247"/>
      <c r="I9" s="247"/>
      <c r="J9" s="247"/>
      <c r="K9" s="247"/>
      <c r="L9" s="247"/>
      <c r="M9" s="247"/>
      <c r="N9" s="247"/>
      <c r="O9" s="247"/>
      <c r="P9"/>
    </row>
    <row r="10" spans="1:20" ht="7.5" customHeight="1" x14ac:dyDescent="0.25">
      <c r="L10"/>
      <c r="M10"/>
      <c r="N10"/>
      <c r="O10"/>
      <c r="P10"/>
    </row>
    <row r="11" spans="1:20" ht="7.5" customHeight="1" x14ac:dyDescent="0.25">
      <c r="L11"/>
      <c r="M11"/>
      <c r="N11"/>
      <c r="O11"/>
      <c r="P11"/>
    </row>
    <row r="12" spans="1:20" ht="15.75" x14ac:dyDescent="0.25">
      <c r="B12" s="8" t="s">
        <v>3</v>
      </c>
      <c r="D12" s="242" t="s">
        <v>71</v>
      </c>
      <c r="E12" s="242"/>
      <c r="F12" s="242"/>
      <c r="G12" s="242"/>
      <c r="H12" s="242"/>
      <c r="I12" s="242"/>
      <c r="J12" s="242"/>
      <c r="K12" s="242"/>
      <c r="L12" s="242"/>
      <c r="M12" s="242"/>
      <c r="N12" s="242"/>
      <c r="O12" s="242"/>
    </row>
    <row r="13" spans="1:20" ht="7.5" customHeight="1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68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x14ac:dyDescent="0.25">
      <c r="B16" s="12"/>
      <c r="D16" s="13" t="s">
        <v>6</v>
      </c>
      <c r="E16" s="13"/>
      <c r="F16" s="14">
        <v>168200</v>
      </c>
      <c r="G16" s="13" t="s">
        <v>7</v>
      </c>
      <c r="H16" s="14">
        <v>470</v>
      </c>
      <c r="I16" s="13" t="s">
        <v>69</v>
      </c>
    </row>
    <row r="17" spans="2:15" x14ac:dyDescent="0.25">
      <c r="B17" s="12"/>
    </row>
    <row r="18" spans="2:15" x14ac:dyDescent="0.25">
      <c r="B18" s="12"/>
      <c r="D18" s="15"/>
      <c r="E18" s="15"/>
      <c r="F18" s="243" t="s">
        <v>8</v>
      </c>
      <c r="G18" s="244"/>
      <c r="H18" s="245"/>
      <c r="J18" s="243" t="s">
        <v>9</v>
      </c>
      <c r="K18" s="244"/>
      <c r="L18" s="245"/>
      <c r="N18" s="243" t="s">
        <v>10</v>
      </c>
      <c r="O18" s="245"/>
    </row>
    <row r="19" spans="2:15" x14ac:dyDescent="0.25">
      <c r="B19" s="12"/>
      <c r="D19" s="234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236" t="s">
        <v>15</v>
      </c>
      <c r="O19" s="238" t="s">
        <v>16</v>
      </c>
    </row>
    <row r="20" spans="2:15" x14ac:dyDescent="0.25">
      <c r="B20" s="12"/>
      <c r="D20" s="235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237"/>
      <c r="O20" s="239"/>
    </row>
    <row r="21" spans="2:15" ht="22.5" customHeight="1" x14ac:dyDescent="0.25">
      <c r="B21" s="22" t="s">
        <v>18</v>
      </c>
      <c r="C21" s="22"/>
      <c r="D21" s="23" t="s">
        <v>60</v>
      </c>
      <c r="E21" s="24"/>
      <c r="F21" s="174">
        <f>'[2]2014 Existing Rates'!$B$10</f>
        <v>4.88</v>
      </c>
      <c r="G21" s="58">
        <v>5419</v>
      </c>
      <c r="H21" s="27">
        <f>G21*F21</f>
        <v>26444.720000000001</v>
      </c>
      <c r="I21" s="28"/>
      <c r="J21" s="173">
        <f>'[2]Rate Schedule '!$E$34</f>
        <v>5.2</v>
      </c>
      <c r="K21" s="58">
        <v>5419</v>
      </c>
      <c r="L21" s="27">
        <f>K21*J21</f>
        <v>28178.799999999999</v>
      </c>
      <c r="M21" s="28"/>
      <c r="N21" s="31">
        <f>L21-H21</f>
        <v>1734.0799999999981</v>
      </c>
      <c r="O21" s="32">
        <f>IF((H21)=0,"",(N21/H21))</f>
        <v>6.5573770491803199E-2</v>
      </c>
    </row>
    <row r="22" spans="2:15" ht="36.75" customHeight="1" x14ac:dyDescent="0.25">
      <c r="B22" s="65" t="s">
        <v>62</v>
      </c>
      <c r="C22" s="22"/>
      <c r="D22" s="56" t="s">
        <v>60</v>
      </c>
      <c r="E22" s="24"/>
      <c r="F22" s="173"/>
      <c r="G22" s="26">
        <v>1</v>
      </c>
      <c r="H22" s="27">
        <f t="shared" ref="H22:H37" si="0">G22*F22</f>
        <v>0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0</v>
      </c>
      <c r="O22" s="32" t="str">
        <f>IF((H22)=0,"",(N22/H22))</f>
        <v/>
      </c>
    </row>
    <row r="23" spans="2:15" hidden="1" x14ac:dyDescent="0.25">
      <c r="B23" s="175"/>
      <c r="C23" s="22"/>
      <c r="D23" s="56" t="s">
        <v>60</v>
      </c>
      <c r="E23" s="57"/>
      <c r="F23" s="173"/>
      <c r="G23" s="26">
        <v>1</v>
      </c>
      <c r="H23" s="27">
        <f t="shared" si="0"/>
        <v>0</v>
      </c>
      <c r="I23" s="28"/>
      <c r="J23" s="29"/>
      <c r="K23" s="30">
        <v>1</v>
      </c>
      <c r="L23" s="27">
        <f t="shared" ref="L23:L37" si="1">K23*J23</f>
        <v>0</v>
      </c>
      <c r="M23" s="28"/>
      <c r="N23" s="31">
        <f t="shared" ref="N23:N64" si="2">L23-H23</f>
        <v>0</v>
      </c>
      <c r="O23" s="32" t="str">
        <f t="shared" ref="O23:O44" si="3">IF((H23)=0,"",(N23/H23))</f>
        <v/>
      </c>
    </row>
    <row r="24" spans="2:15" hidden="1" x14ac:dyDescent="0.25">
      <c r="B24" s="175"/>
      <c r="C24" s="22"/>
      <c r="D24" s="56" t="s">
        <v>60</v>
      </c>
      <c r="E24" s="24"/>
      <c r="F24" s="25"/>
      <c r="G24" s="26">
        <v>1</v>
      </c>
      <c r="H24" s="27">
        <f t="shared" si="0"/>
        <v>0</v>
      </c>
      <c r="I24" s="28"/>
      <c r="J24" s="173"/>
      <c r="K24" s="30">
        <v>1</v>
      </c>
      <c r="L24" s="27">
        <f t="shared" si="1"/>
        <v>0</v>
      </c>
      <c r="M24" s="28"/>
      <c r="N24" s="31">
        <f t="shared" si="2"/>
        <v>0</v>
      </c>
      <c r="O24" s="32" t="str">
        <f t="shared" si="3"/>
        <v/>
      </c>
    </row>
    <row r="25" spans="2:15" x14ac:dyDescent="0.25">
      <c r="B25" s="175" t="s">
        <v>88</v>
      </c>
      <c r="C25" s="22"/>
      <c r="D25" s="23" t="s">
        <v>70</v>
      </c>
      <c r="E25" s="24"/>
      <c r="F25" s="25"/>
      <c r="G25" s="178">
        <f>$H$16</f>
        <v>470</v>
      </c>
      <c r="H25" s="27">
        <f t="shared" ref="H25" si="4">G25*F25</f>
        <v>0</v>
      </c>
      <c r="I25" s="28"/>
      <c r="J25" s="29">
        <f>'[4]6. Rate Rider Calculations'!$F$109</f>
        <v>13.032701418722425</v>
      </c>
      <c r="K25" s="178">
        <f>$H$16</f>
        <v>470</v>
      </c>
      <c r="L25" s="27">
        <f t="shared" ref="L25" si="5">K25*J25</f>
        <v>6125.36966679954</v>
      </c>
      <c r="M25" s="28"/>
      <c r="N25" s="31">
        <f t="shared" ref="N25" si="6">L25-H25</f>
        <v>6125.36966679954</v>
      </c>
      <c r="O25" s="32" t="str">
        <f t="shared" ref="O25" si="7">IF((H25)=0,"",(N25/H25))</f>
        <v/>
      </c>
    </row>
    <row r="26" spans="2:15" x14ac:dyDescent="0.25">
      <c r="B26" s="46" t="s">
        <v>65</v>
      </c>
      <c r="C26" s="22"/>
      <c r="D26" s="23" t="s">
        <v>70</v>
      </c>
      <c r="E26" s="24"/>
      <c r="F26" s="25">
        <v>-0.45660000000000001</v>
      </c>
      <c r="G26" s="178">
        <f>$H$16</f>
        <v>470</v>
      </c>
      <c r="H26" s="27">
        <f t="shared" si="0"/>
        <v>-214.602</v>
      </c>
      <c r="I26" s="28"/>
      <c r="J26" s="29"/>
      <c r="K26" s="178">
        <f>$H$16</f>
        <v>470</v>
      </c>
      <c r="L26" s="27">
        <f t="shared" si="1"/>
        <v>0</v>
      </c>
      <c r="M26" s="28"/>
      <c r="N26" s="31">
        <f t="shared" si="2"/>
        <v>214.602</v>
      </c>
      <c r="O26" s="32">
        <f t="shared" si="3"/>
        <v>-1</v>
      </c>
    </row>
    <row r="27" spans="2:15" x14ac:dyDescent="0.25">
      <c r="B27" s="46" t="s">
        <v>66</v>
      </c>
      <c r="C27" s="22"/>
      <c r="D27" s="23" t="s">
        <v>70</v>
      </c>
      <c r="E27" s="24"/>
      <c r="F27" s="25"/>
      <c r="G27" s="178">
        <f>$H$16</f>
        <v>470</v>
      </c>
      <c r="H27" s="27">
        <f t="shared" si="0"/>
        <v>0</v>
      </c>
      <c r="I27" s="28"/>
      <c r="J27" s="29">
        <f>'[4]6. Rate Rider Calculations'!$F$81</f>
        <v>-2.5413684858613026</v>
      </c>
      <c r="K27" s="178">
        <f>$H$16</f>
        <v>470</v>
      </c>
      <c r="L27" s="27">
        <f t="shared" si="1"/>
        <v>-1194.4431883548123</v>
      </c>
      <c r="M27" s="28"/>
      <c r="N27" s="31">
        <f t="shared" si="2"/>
        <v>-1194.4431883548123</v>
      </c>
      <c r="O27" s="32" t="str">
        <f t="shared" si="3"/>
        <v/>
      </c>
    </row>
    <row r="28" spans="2:15" x14ac:dyDescent="0.25">
      <c r="B28" s="22" t="s">
        <v>19</v>
      </c>
      <c r="C28" s="22"/>
      <c r="D28" s="23" t="s">
        <v>70</v>
      </c>
      <c r="E28" s="24"/>
      <c r="F28" s="25">
        <f>'[2]2014 Existing Rates'!$D$10</f>
        <v>26.125499999999999</v>
      </c>
      <c r="G28" s="178">
        <f>$H$16</f>
        <v>470</v>
      </c>
      <c r="H28" s="27">
        <f t="shared" si="0"/>
        <v>12278.984999999999</v>
      </c>
      <c r="I28" s="28"/>
      <c r="J28" s="29">
        <f>'[2]Rate Schedule '!$E$35</f>
        <v>27.833600000000001</v>
      </c>
      <c r="K28" s="178">
        <f>$H$16</f>
        <v>470</v>
      </c>
      <c r="L28" s="27">
        <f t="shared" si="1"/>
        <v>13081.791999999999</v>
      </c>
      <c r="M28" s="28"/>
      <c r="N28" s="31">
        <f t="shared" si="2"/>
        <v>802.8070000000007</v>
      </c>
      <c r="O28" s="32">
        <f t="shared" si="3"/>
        <v>6.5380566879102861E-2</v>
      </c>
    </row>
    <row r="29" spans="2:15" hidden="1" x14ac:dyDescent="0.25">
      <c r="B29" s="22" t="s">
        <v>20</v>
      </c>
      <c r="C29" s="22"/>
      <c r="D29" s="23"/>
      <c r="E29" s="24"/>
      <c r="F29" s="25"/>
      <c r="G29" s="26">
        <f>$F$16</f>
        <v>168200</v>
      </c>
      <c r="H29" s="27">
        <f t="shared" si="0"/>
        <v>0</v>
      </c>
      <c r="I29" s="28"/>
      <c r="J29" s="29"/>
      <c r="K29" s="26">
        <f t="shared" ref="K29:K37" si="8">$F$16</f>
        <v>168200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idden="1" x14ac:dyDescent="0.25">
      <c r="B30" s="22" t="s">
        <v>21</v>
      </c>
      <c r="C30" s="22"/>
      <c r="D30" s="23"/>
      <c r="E30" s="24"/>
      <c r="F30" s="25"/>
      <c r="G30" s="26">
        <f>$F$16</f>
        <v>168200</v>
      </c>
      <c r="H30" s="27">
        <f t="shared" si="0"/>
        <v>0</v>
      </c>
      <c r="I30" s="28"/>
      <c r="J30" s="29"/>
      <c r="K30" s="26">
        <f t="shared" si="8"/>
        <v>168200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idden="1" x14ac:dyDescent="0.25">
      <c r="B31" s="33"/>
      <c r="C31" s="22"/>
      <c r="D31" s="23"/>
      <c r="E31" s="24"/>
      <c r="F31" s="25"/>
      <c r="G31" s="26">
        <f t="shared" ref="G31:G37" si="9">$F$16</f>
        <v>168200</v>
      </c>
      <c r="H31" s="27">
        <f t="shared" si="0"/>
        <v>0</v>
      </c>
      <c r="I31" s="28"/>
      <c r="J31" s="29"/>
      <c r="K31" s="26">
        <f t="shared" si="8"/>
        <v>168200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idden="1" x14ac:dyDescent="0.25">
      <c r="B32" s="33"/>
      <c r="C32" s="22"/>
      <c r="D32" s="23"/>
      <c r="E32" s="24"/>
      <c r="F32" s="25"/>
      <c r="G32" s="26">
        <f t="shared" si="9"/>
        <v>168200</v>
      </c>
      <c r="H32" s="27">
        <f t="shared" si="0"/>
        <v>0</v>
      </c>
      <c r="I32" s="28"/>
      <c r="J32" s="29"/>
      <c r="K32" s="26">
        <f t="shared" si="8"/>
        <v>168200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idden="1" x14ac:dyDescent="0.25">
      <c r="B33" s="33"/>
      <c r="C33" s="22"/>
      <c r="D33" s="23"/>
      <c r="E33" s="24"/>
      <c r="F33" s="25"/>
      <c r="G33" s="26">
        <f t="shared" si="9"/>
        <v>168200</v>
      </c>
      <c r="H33" s="27">
        <f t="shared" si="0"/>
        <v>0</v>
      </c>
      <c r="I33" s="28"/>
      <c r="J33" s="29"/>
      <c r="K33" s="26">
        <f t="shared" si="8"/>
        <v>168200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idden="1" x14ac:dyDescent="0.25">
      <c r="B34" s="33"/>
      <c r="C34" s="22"/>
      <c r="D34" s="23"/>
      <c r="E34" s="24"/>
      <c r="F34" s="25"/>
      <c r="G34" s="26">
        <f t="shared" si="9"/>
        <v>168200</v>
      </c>
      <c r="H34" s="27">
        <f t="shared" si="0"/>
        <v>0</v>
      </c>
      <c r="I34" s="28"/>
      <c r="J34" s="29"/>
      <c r="K34" s="26">
        <f t="shared" si="8"/>
        <v>168200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idden="1" x14ac:dyDescent="0.25">
      <c r="B35" s="33"/>
      <c r="C35" s="22"/>
      <c r="D35" s="23"/>
      <c r="E35" s="24"/>
      <c r="F35" s="25"/>
      <c r="G35" s="26">
        <f t="shared" si="9"/>
        <v>168200</v>
      </c>
      <c r="H35" s="27">
        <f t="shared" si="0"/>
        <v>0</v>
      </c>
      <c r="I35" s="28"/>
      <c r="J35" s="29"/>
      <c r="K35" s="26">
        <f t="shared" si="8"/>
        <v>168200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idden="1" x14ac:dyDescent="0.25">
      <c r="B36" s="33"/>
      <c r="C36" s="22"/>
      <c r="D36" s="23"/>
      <c r="E36" s="24"/>
      <c r="F36" s="25"/>
      <c r="G36" s="26">
        <f t="shared" si="9"/>
        <v>168200</v>
      </c>
      <c r="H36" s="27">
        <f t="shared" si="0"/>
        <v>0</v>
      </c>
      <c r="I36" s="28"/>
      <c r="J36" s="29"/>
      <c r="K36" s="26">
        <f t="shared" si="8"/>
        <v>168200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hidden="1" x14ac:dyDescent="0.25">
      <c r="B37" s="33"/>
      <c r="C37" s="22"/>
      <c r="D37" s="23"/>
      <c r="E37" s="24"/>
      <c r="F37" s="25"/>
      <c r="G37" s="26">
        <f t="shared" si="9"/>
        <v>168200</v>
      </c>
      <c r="H37" s="27">
        <f t="shared" si="0"/>
        <v>0</v>
      </c>
      <c r="I37" s="28"/>
      <c r="J37" s="29"/>
      <c r="K37" s="26">
        <f t="shared" si="8"/>
        <v>168200</v>
      </c>
      <c r="L37" s="27">
        <f t="shared" si="1"/>
        <v>0</v>
      </c>
      <c r="M37" s="28"/>
      <c r="N37" s="31">
        <f t="shared" si="2"/>
        <v>0</v>
      </c>
      <c r="O37" s="32" t="str">
        <f t="shared" si="3"/>
        <v/>
      </c>
    </row>
    <row r="38" spans="2:15" s="34" customFormat="1" x14ac:dyDescent="0.25">
      <c r="B38" s="35" t="s">
        <v>22</v>
      </c>
      <c r="C38" s="36"/>
      <c r="D38" s="37"/>
      <c r="E38" s="36"/>
      <c r="F38" s="38"/>
      <c r="G38" s="39"/>
      <c r="H38" s="40">
        <f>SUM(H21:H37)</f>
        <v>38509.103000000003</v>
      </c>
      <c r="I38" s="41"/>
      <c r="J38" s="42"/>
      <c r="K38" s="43"/>
      <c r="L38" s="40">
        <f>SUM(L21:L37)</f>
        <v>46191.518478444734</v>
      </c>
      <c r="M38" s="41"/>
      <c r="N38" s="44">
        <f t="shared" si="2"/>
        <v>7682.415478444731</v>
      </c>
      <c r="O38" s="45">
        <f t="shared" si="3"/>
        <v>0.19949609001395671</v>
      </c>
    </row>
    <row r="39" spans="2:15" x14ac:dyDescent="0.25">
      <c r="B39" s="46" t="s">
        <v>23</v>
      </c>
      <c r="C39" s="22"/>
      <c r="D39" s="56" t="s">
        <v>70</v>
      </c>
      <c r="E39" s="57"/>
      <c r="F39" s="29">
        <v>-0.62739999999999996</v>
      </c>
      <c r="G39" s="178">
        <f>G28</f>
        <v>470</v>
      </c>
      <c r="H39" s="27">
        <f t="shared" ref="H39:H45" si="10">G39*F39</f>
        <v>-294.87799999999999</v>
      </c>
      <c r="I39" s="28"/>
      <c r="J39" s="29">
        <f>'[4]6. Rate Rider Calculations'!$F$26</f>
        <v>-12.191685098070534</v>
      </c>
      <c r="K39" s="178">
        <f>H16</f>
        <v>470</v>
      </c>
      <c r="L39" s="27">
        <f t="shared" ref="L39:L45" si="11">K39*J39</f>
        <v>-5730.0919960931515</v>
      </c>
      <c r="M39" s="28"/>
      <c r="N39" s="31">
        <f t="shared" si="2"/>
        <v>-5435.2139960931518</v>
      </c>
      <c r="O39" s="32">
        <f t="shared" si="3"/>
        <v>18.432076981304647</v>
      </c>
    </row>
    <row r="40" spans="2:15" hidden="1" x14ac:dyDescent="0.25">
      <c r="B40" s="46"/>
      <c r="C40" s="22"/>
      <c r="D40" s="23" t="s">
        <v>70</v>
      </c>
      <c r="E40" s="24"/>
      <c r="F40" s="25"/>
      <c r="G40" s="178">
        <f>H16</f>
        <v>470</v>
      </c>
      <c r="H40" s="27">
        <f t="shared" si="10"/>
        <v>0</v>
      </c>
      <c r="I40" s="47"/>
      <c r="J40" s="29"/>
      <c r="K40" s="178">
        <f>H16</f>
        <v>470</v>
      </c>
      <c r="L40" s="27">
        <f t="shared" si="11"/>
        <v>0</v>
      </c>
      <c r="M40" s="48"/>
      <c r="N40" s="31">
        <f t="shared" si="2"/>
        <v>0</v>
      </c>
      <c r="O40" s="32" t="str">
        <f t="shared" si="3"/>
        <v/>
      </c>
    </row>
    <row r="41" spans="2:15" hidden="1" x14ac:dyDescent="0.25">
      <c r="B41" s="46"/>
      <c r="C41" s="22"/>
      <c r="D41" s="23" t="s">
        <v>70</v>
      </c>
      <c r="E41" s="24"/>
      <c r="F41" s="25"/>
      <c r="G41" s="178">
        <f>H16</f>
        <v>470</v>
      </c>
      <c r="H41" s="27">
        <f t="shared" si="10"/>
        <v>0</v>
      </c>
      <c r="I41" s="47"/>
      <c r="J41" s="29"/>
      <c r="K41" s="178">
        <f>H16</f>
        <v>470</v>
      </c>
      <c r="L41" s="27">
        <f t="shared" si="11"/>
        <v>0</v>
      </c>
      <c r="M41" s="48"/>
      <c r="N41" s="31">
        <f t="shared" si="2"/>
        <v>0</v>
      </c>
      <c r="O41" s="32" t="str">
        <f t="shared" si="3"/>
        <v/>
      </c>
    </row>
    <row r="42" spans="2:15" ht="30" customHeight="1" x14ac:dyDescent="0.25">
      <c r="B42" s="46" t="s">
        <v>74</v>
      </c>
      <c r="C42" s="22"/>
      <c r="D42" s="23" t="s">
        <v>70</v>
      </c>
      <c r="E42" s="24"/>
      <c r="F42" s="29">
        <v>0.28560000000000002</v>
      </c>
      <c r="G42" s="178">
        <f>H16</f>
        <v>470</v>
      </c>
      <c r="H42" s="27">
        <f t="shared" si="10"/>
        <v>134.232</v>
      </c>
      <c r="I42" s="47"/>
      <c r="J42" s="29">
        <f>'[4]6. Rate Rider Calculations'!$F$53</f>
        <v>0.63712650613788802</v>
      </c>
      <c r="K42" s="178">
        <f>H16</f>
        <v>470</v>
      </c>
      <c r="L42" s="27">
        <f t="shared" si="11"/>
        <v>299.44945788480737</v>
      </c>
      <c r="M42" s="48"/>
      <c r="N42" s="31">
        <f t="shared" si="2"/>
        <v>165.21745788480737</v>
      </c>
      <c r="O42" s="32">
        <f t="shared" si="3"/>
        <v>1.2308351055248181</v>
      </c>
    </row>
    <row r="43" spans="2:15" x14ac:dyDescent="0.25">
      <c r="B43" s="49" t="s">
        <v>24</v>
      </c>
      <c r="C43" s="22"/>
      <c r="D43" s="23" t="s">
        <v>70</v>
      </c>
      <c r="E43" s="24"/>
      <c r="F43" s="25">
        <v>1.0800000000000001E-2</v>
      </c>
      <c r="G43" s="178">
        <f>H16</f>
        <v>470</v>
      </c>
      <c r="H43" s="27">
        <f t="shared" si="10"/>
        <v>5.0760000000000005</v>
      </c>
      <c r="I43" s="28"/>
      <c r="J43" s="29">
        <f>'[2]Rate Schedule '!$E$36</f>
        <v>0.02</v>
      </c>
      <c r="K43" s="178">
        <f>H16</f>
        <v>470</v>
      </c>
      <c r="L43" s="27">
        <f t="shared" si="11"/>
        <v>9.4</v>
      </c>
      <c r="M43" s="28"/>
      <c r="N43" s="31">
        <f t="shared" si="2"/>
        <v>4.3239999999999998</v>
      </c>
      <c r="O43" s="32">
        <f t="shared" si="3"/>
        <v>0.85185185185185175</v>
      </c>
    </row>
    <row r="44" spans="2:15" s="34" customFormat="1" x14ac:dyDescent="0.25">
      <c r="B44" s="180" t="s">
        <v>25</v>
      </c>
      <c r="C44" s="24"/>
      <c r="D44" s="181" t="s">
        <v>61</v>
      </c>
      <c r="E44" s="24"/>
      <c r="F44" s="182">
        <f>IF(ISBLANK(D14)=TRUE, 0, IF(D14="TOU", 0.64*$F$54+0.18*$F$55+0.18*$F$56, IF(AND(D14="non-TOU", G58&gt;0), F58,F57)))</f>
        <v>8.7999999999999995E-2</v>
      </c>
      <c r="G44" s="26">
        <f>$F$16*(1+$F$73)-$F$16</f>
        <v>8073.6000000000058</v>
      </c>
      <c r="H44" s="183">
        <f t="shared" si="10"/>
        <v>710.47680000000048</v>
      </c>
      <c r="I44" s="57"/>
      <c r="J44" s="184">
        <f>IF(ISBLANK(D14)=TRUE, 0, IF(D14="TOU", 0.64*$F$54+0.18*$F$55+0.18*$F$56, IF(AND(D14="non-TOU", K58&gt;0), J58,J57)))</f>
        <v>8.7999999999999995E-2</v>
      </c>
      <c r="K44" s="26">
        <f>$F$16*(1+$J$73)-$F$16</f>
        <v>7922.2199999999721</v>
      </c>
      <c r="L44" s="183">
        <f t="shared" si="11"/>
        <v>697.15535999999747</v>
      </c>
      <c r="M44" s="57"/>
      <c r="N44" s="185">
        <f t="shared" si="2"/>
        <v>-13.321440000003008</v>
      </c>
      <c r="O44" s="186">
        <f t="shared" si="3"/>
        <v>-1.8750000000004222E-2</v>
      </c>
    </row>
    <row r="45" spans="2:15" x14ac:dyDescent="0.25">
      <c r="B45" s="49" t="s">
        <v>26</v>
      </c>
      <c r="C45" s="22"/>
      <c r="D45" s="23" t="s">
        <v>60</v>
      </c>
      <c r="E45" s="24"/>
      <c r="F45" s="177"/>
      <c r="G45" s="26">
        <v>0</v>
      </c>
      <c r="H45" s="27">
        <f t="shared" si="10"/>
        <v>0</v>
      </c>
      <c r="I45" s="28"/>
      <c r="J45" s="177"/>
      <c r="K45" s="26">
        <v>0</v>
      </c>
      <c r="L45" s="27">
        <f t="shared" si="11"/>
        <v>0</v>
      </c>
      <c r="M45" s="28"/>
      <c r="N45" s="31">
        <f t="shared" si="2"/>
        <v>0</v>
      </c>
      <c r="O45" s="32"/>
    </row>
    <row r="46" spans="2:15" ht="25.5" x14ac:dyDescent="0.25">
      <c r="B46" s="50" t="s">
        <v>27</v>
      </c>
      <c r="C46" s="51"/>
      <c r="D46" s="51"/>
      <c r="E46" s="51"/>
      <c r="F46" s="52"/>
      <c r="G46" s="53"/>
      <c r="H46" s="54">
        <f>SUM(H39:H45)+H38</f>
        <v>39064.0098</v>
      </c>
      <c r="I46" s="41"/>
      <c r="J46" s="53"/>
      <c r="K46" s="55"/>
      <c r="L46" s="54">
        <f>SUM(L39:L45)+L38</f>
        <v>41467.431300236385</v>
      </c>
      <c r="M46" s="41"/>
      <c r="N46" s="44">
        <f t="shared" si="2"/>
        <v>2403.4215002363853</v>
      </c>
      <c r="O46" s="45">
        <f t="shared" ref="O46:O64" si="12">IF((H46)=0,"",(N46/H46))</f>
        <v>6.1525212402449923E-2</v>
      </c>
    </row>
    <row r="47" spans="2:15" x14ac:dyDescent="0.25">
      <c r="B47" s="28" t="s">
        <v>28</v>
      </c>
      <c r="C47" s="28"/>
      <c r="D47" s="56" t="s">
        <v>70</v>
      </c>
      <c r="E47" s="57"/>
      <c r="F47" s="29">
        <v>2.0562</v>
      </c>
      <c r="G47" s="58">
        <f>H16</f>
        <v>470</v>
      </c>
      <c r="H47" s="27">
        <f>G47*F47</f>
        <v>966.41399999999999</v>
      </c>
      <c r="I47" s="28"/>
      <c r="J47" s="29">
        <f>'[5]13. Final 2015 RTS Rates'!$F$32</f>
        <v>2.122374849471242</v>
      </c>
      <c r="K47" s="59">
        <f>H16</f>
        <v>470</v>
      </c>
      <c r="L47" s="27">
        <f>K47*J47</f>
        <v>997.51617925148378</v>
      </c>
      <c r="M47" s="28"/>
      <c r="N47" s="31">
        <f t="shared" si="2"/>
        <v>31.10217925148379</v>
      </c>
      <c r="O47" s="32">
        <f t="shared" si="12"/>
        <v>3.2183080182493003E-2</v>
      </c>
    </row>
    <row r="48" spans="2:15" x14ac:dyDescent="0.25">
      <c r="B48" s="60" t="s">
        <v>29</v>
      </c>
      <c r="C48" s="28"/>
      <c r="D48" s="56" t="s">
        <v>70</v>
      </c>
      <c r="E48" s="57"/>
      <c r="F48" s="29">
        <v>1.5665</v>
      </c>
      <c r="G48" s="58">
        <f>G47</f>
        <v>470</v>
      </c>
      <c r="H48" s="27">
        <f>G48*F48</f>
        <v>736.255</v>
      </c>
      <c r="I48" s="28"/>
      <c r="J48" s="29">
        <f>'[5]13. Final 2015 RTS Rates'!$H$32</f>
        <v>1.6085970004746881</v>
      </c>
      <c r="K48" s="59">
        <f>K47</f>
        <v>470</v>
      </c>
      <c r="L48" s="27">
        <f>K48*J48</f>
        <v>756.04059022310344</v>
      </c>
      <c r="M48" s="28"/>
      <c r="N48" s="31">
        <f t="shared" si="2"/>
        <v>19.785590223103441</v>
      </c>
      <c r="O48" s="32">
        <f t="shared" si="12"/>
        <v>2.6873284694981278E-2</v>
      </c>
    </row>
    <row r="49" spans="2:19" x14ac:dyDescent="0.25">
      <c r="B49" s="50" t="s">
        <v>30</v>
      </c>
      <c r="C49" s="36"/>
      <c r="D49" s="36"/>
      <c r="E49" s="36"/>
      <c r="F49" s="61"/>
      <c r="G49" s="53"/>
      <c r="H49" s="54">
        <f>SUM(H46:H48)</f>
        <v>40766.678799999994</v>
      </c>
      <c r="I49" s="62"/>
      <c r="J49" s="63"/>
      <c r="K49" s="64"/>
      <c r="L49" s="54">
        <f>SUM(L46:L48)</f>
        <v>43220.988069710977</v>
      </c>
      <c r="M49" s="62"/>
      <c r="N49" s="44">
        <f t="shared" si="2"/>
        <v>2454.3092697109823</v>
      </c>
      <c r="O49" s="45">
        <f t="shared" si="12"/>
        <v>6.0203807176732356E-2</v>
      </c>
    </row>
    <row r="50" spans="2:19" x14ac:dyDescent="0.25">
      <c r="B50" s="65" t="s">
        <v>31</v>
      </c>
      <c r="C50" s="22"/>
      <c r="D50" s="23" t="s">
        <v>61</v>
      </c>
      <c r="E50" s="24"/>
      <c r="F50" s="66">
        <v>4.4000000000000003E-3</v>
      </c>
      <c r="G50" s="58">
        <f>F16*(1+F73)</f>
        <v>176273.6</v>
      </c>
      <c r="H50" s="67">
        <f t="shared" ref="H50:H56" si="13">G50*F50</f>
        <v>775.6038400000001</v>
      </c>
      <c r="I50" s="28"/>
      <c r="J50" s="66">
        <v>4.4000000000000003E-3</v>
      </c>
      <c r="K50" s="59">
        <f>F16*(1+J73)</f>
        <v>176122.21999999997</v>
      </c>
      <c r="L50" s="67">
        <f t="shared" ref="L50:L56" si="14">K50*J50</f>
        <v>774.93776799999989</v>
      </c>
      <c r="M50" s="28"/>
      <c r="N50" s="31">
        <f t="shared" si="2"/>
        <v>-0.66607200000021294</v>
      </c>
      <c r="O50" s="68">
        <f t="shared" si="12"/>
        <v>-8.5877862595447286E-4</v>
      </c>
    </row>
    <row r="51" spans="2:19" x14ac:dyDescent="0.25">
      <c r="B51" s="65" t="s">
        <v>32</v>
      </c>
      <c r="C51" s="22"/>
      <c r="D51" s="23" t="s">
        <v>61</v>
      </c>
      <c r="E51" s="24"/>
      <c r="F51" s="66">
        <v>1.2999999999999999E-3</v>
      </c>
      <c r="G51" s="58">
        <f>G50</f>
        <v>176273.6</v>
      </c>
      <c r="H51" s="67">
        <f t="shared" si="13"/>
        <v>229.15567999999999</v>
      </c>
      <c r="I51" s="28"/>
      <c r="J51" s="66">
        <v>1.2999999999999999E-3</v>
      </c>
      <c r="K51" s="59">
        <f>K50</f>
        <v>176122.21999999997</v>
      </c>
      <c r="L51" s="67">
        <f t="shared" si="14"/>
        <v>228.95888599999995</v>
      </c>
      <c r="M51" s="28"/>
      <c r="N51" s="31">
        <f t="shared" si="2"/>
        <v>-0.19679400000003966</v>
      </c>
      <c r="O51" s="68">
        <f t="shared" si="12"/>
        <v>-8.587786259543716E-4</v>
      </c>
    </row>
    <row r="52" spans="2:19" x14ac:dyDescent="0.25">
      <c r="B52" s="22" t="s">
        <v>33</v>
      </c>
      <c r="C52" s="22"/>
      <c r="D52" s="23" t="s">
        <v>60</v>
      </c>
      <c r="E52" s="24"/>
      <c r="F52" s="176">
        <v>0.25</v>
      </c>
      <c r="G52" s="69">
        <f>G21</f>
        <v>5419</v>
      </c>
      <c r="H52" s="67">
        <f t="shared" si="13"/>
        <v>1354.75</v>
      </c>
      <c r="I52" s="28"/>
      <c r="J52" s="176">
        <v>0.25</v>
      </c>
      <c r="K52" s="69">
        <f>K21</f>
        <v>5419</v>
      </c>
      <c r="L52" s="67">
        <f t="shared" si="14"/>
        <v>1354.75</v>
      </c>
      <c r="M52" s="28"/>
      <c r="N52" s="31">
        <f t="shared" si="2"/>
        <v>0</v>
      </c>
      <c r="O52" s="68">
        <f t="shared" si="12"/>
        <v>0</v>
      </c>
    </row>
    <row r="53" spans="2:19" x14ac:dyDescent="0.25">
      <c r="B53" s="22" t="s">
        <v>34</v>
      </c>
      <c r="C53" s="22"/>
      <c r="D53" s="23" t="s">
        <v>61</v>
      </c>
      <c r="E53" s="24"/>
      <c r="F53" s="66">
        <v>7.0000000000000001E-3</v>
      </c>
      <c r="G53" s="69">
        <f>F16</f>
        <v>168200</v>
      </c>
      <c r="H53" s="67">
        <f t="shared" si="13"/>
        <v>1177.4000000000001</v>
      </c>
      <c r="I53" s="28"/>
      <c r="J53" s="66">
        <v>7.0000000000000001E-3</v>
      </c>
      <c r="K53" s="70">
        <f>F16</f>
        <v>168200</v>
      </c>
      <c r="L53" s="67">
        <f t="shared" si="14"/>
        <v>1177.4000000000001</v>
      </c>
      <c r="M53" s="28"/>
      <c r="N53" s="31">
        <f t="shared" si="2"/>
        <v>0</v>
      </c>
      <c r="O53" s="68">
        <f t="shared" si="12"/>
        <v>0</v>
      </c>
    </row>
    <row r="54" spans="2:19" ht="15.75" thickBot="1" x14ac:dyDescent="0.3">
      <c r="B54" s="49" t="s">
        <v>73</v>
      </c>
      <c r="C54" s="22"/>
      <c r="D54" s="23" t="s">
        <v>61</v>
      </c>
      <c r="E54" s="24"/>
      <c r="F54" s="66">
        <v>8.2699999999999996E-2</v>
      </c>
      <c r="G54" s="69">
        <f>F16</f>
        <v>168200</v>
      </c>
      <c r="H54" s="67">
        <f t="shared" si="13"/>
        <v>13910.14</v>
      </c>
      <c r="I54" s="28"/>
      <c r="J54" s="66">
        <v>8.2699999999999996E-2</v>
      </c>
      <c r="K54" s="69">
        <f>F16</f>
        <v>168200</v>
      </c>
      <c r="L54" s="67">
        <f t="shared" si="14"/>
        <v>13910.14</v>
      </c>
      <c r="M54" s="28"/>
      <c r="N54" s="31">
        <f t="shared" si="2"/>
        <v>0</v>
      </c>
      <c r="O54" s="68">
        <f t="shared" si="12"/>
        <v>0</v>
      </c>
      <c r="S54" s="72"/>
    </row>
    <row r="55" spans="2:19" ht="15.75" hidden="1" thickBot="1" x14ac:dyDescent="0.3">
      <c r="B55" s="49" t="s">
        <v>36</v>
      </c>
      <c r="C55" s="22"/>
      <c r="D55" s="23"/>
      <c r="E55" s="24"/>
      <c r="F55" s="71">
        <v>0.104</v>
      </c>
      <c r="G55" s="69">
        <v>0</v>
      </c>
      <c r="H55" s="67">
        <f t="shared" si="13"/>
        <v>0</v>
      </c>
      <c r="I55" s="28"/>
      <c r="J55" s="66">
        <v>0.104</v>
      </c>
      <c r="K55" s="69">
        <v>0</v>
      </c>
      <c r="L55" s="67">
        <f t="shared" si="14"/>
        <v>0</v>
      </c>
      <c r="M55" s="28"/>
      <c r="N55" s="31">
        <f t="shared" si="2"/>
        <v>0</v>
      </c>
      <c r="O55" s="68" t="str">
        <f t="shared" si="12"/>
        <v/>
      </c>
      <c r="S55" s="72"/>
    </row>
    <row r="56" spans="2:19" ht="15.75" hidden="1" thickBot="1" x14ac:dyDescent="0.3">
      <c r="B56" s="12" t="s">
        <v>37</v>
      </c>
      <c r="C56" s="22"/>
      <c r="D56" s="23"/>
      <c r="E56" s="24"/>
      <c r="F56" s="71">
        <v>0.124</v>
      </c>
      <c r="G56" s="69">
        <v>0</v>
      </c>
      <c r="H56" s="67">
        <f t="shared" si="13"/>
        <v>0</v>
      </c>
      <c r="I56" s="28"/>
      <c r="J56" s="66">
        <v>0.124</v>
      </c>
      <c r="K56" s="69">
        <v>0</v>
      </c>
      <c r="L56" s="67">
        <f t="shared" si="14"/>
        <v>0</v>
      </c>
      <c r="M56" s="28"/>
      <c r="N56" s="31">
        <f t="shared" si="2"/>
        <v>0</v>
      </c>
      <c r="O56" s="68" t="str">
        <f t="shared" si="12"/>
        <v/>
      </c>
      <c r="S56" s="72"/>
    </row>
    <row r="57" spans="2:19" s="73" customFormat="1" ht="15.75" hidden="1" thickBot="1" x14ac:dyDescent="0.25">
      <c r="B57" s="179" t="s">
        <v>38</v>
      </c>
      <c r="C57" s="75"/>
      <c r="D57" s="76"/>
      <c r="E57" s="77"/>
      <c r="F57" s="71">
        <v>7.4999999999999997E-2</v>
      </c>
      <c r="G57" s="78">
        <f>IF(AND($T$1=1, F16&gt;=600), 600, IF(AND($T$1=1, AND(F16&lt;600, F16&gt;=0)), F16, IF(AND($T$1=2, F16&gt;=1000), 1000, IF(AND($T$1=2, AND(F16&lt;1000, F16&gt;=0)), F16))))</f>
        <v>600</v>
      </c>
      <c r="H57" s="67">
        <f>G57*F57</f>
        <v>45</v>
      </c>
      <c r="I57" s="79"/>
      <c r="J57" s="66">
        <v>7.4999999999999997E-2</v>
      </c>
      <c r="K57" s="78">
        <f>G57</f>
        <v>600</v>
      </c>
      <c r="L57" s="67">
        <f>K57*J57</f>
        <v>45</v>
      </c>
      <c r="M57" s="79"/>
      <c r="N57" s="80">
        <f t="shared" si="2"/>
        <v>0</v>
      </c>
      <c r="O57" s="68">
        <f t="shared" si="12"/>
        <v>0</v>
      </c>
    </row>
    <row r="58" spans="2:19" s="73" customFormat="1" ht="15.75" hidden="1" thickBot="1" x14ac:dyDescent="0.25">
      <c r="B58" s="179" t="s">
        <v>39</v>
      </c>
      <c r="C58" s="75"/>
      <c r="D58" s="76"/>
      <c r="E58" s="77"/>
      <c r="F58" s="71">
        <v>8.7999999999999995E-2</v>
      </c>
      <c r="G58" s="78">
        <f>IF(AND($T$1=1, F16&gt;=600), F16-600, IF(AND($T$1=1, AND(F16&lt;600, F16&gt;=0)), 0, IF(AND($T$1=2, F16&gt;=1000), F16-1000, IF(AND($T$1=2, AND(F16&lt;1000, F16&gt;=0)), 0))))</f>
        <v>167600</v>
      </c>
      <c r="H58" s="67">
        <f>G58*F58</f>
        <v>14748.8</v>
      </c>
      <c r="I58" s="79"/>
      <c r="J58" s="66">
        <v>8.7999999999999995E-2</v>
      </c>
      <c r="K58" s="78">
        <f>G58</f>
        <v>167600</v>
      </c>
      <c r="L58" s="67">
        <f>K58*J58</f>
        <v>14748.8</v>
      </c>
      <c r="M58" s="79"/>
      <c r="N58" s="80">
        <f t="shared" si="2"/>
        <v>0</v>
      </c>
      <c r="O58" s="68">
        <f t="shared" si="12"/>
        <v>0</v>
      </c>
    </row>
    <row r="59" spans="2:19" ht="8.25" customHeight="1" thickBot="1" x14ac:dyDescent="0.3">
      <c r="B59" s="81"/>
      <c r="C59" s="82"/>
      <c r="D59" s="83"/>
      <c r="E59" s="82"/>
      <c r="F59" s="84"/>
      <c r="G59" s="85"/>
      <c r="H59" s="86"/>
      <c r="I59" s="87"/>
      <c r="J59" s="84"/>
      <c r="K59" s="88"/>
      <c r="L59" s="86"/>
      <c r="M59" s="87"/>
      <c r="N59" s="89"/>
      <c r="O59" s="90"/>
    </row>
    <row r="60" spans="2:19" ht="15.75" hidden="1" thickBot="1" x14ac:dyDescent="0.3">
      <c r="B60" s="91" t="s">
        <v>40</v>
      </c>
      <c r="C60" s="22"/>
      <c r="D60" s="22"/>
      <c r="E60" s="22"/>
      <c r="F60" s="92"/>
      <c r="G60" s="93"/>
      <c r="H60" s="94">
        <f>SUM(H50:H56,H49)</f>
        <v>58213.728319999995</v>
      </c>
      <c r="I60" s="95"/>
      <c r="J60" s="96"/>
      <c r="K60" s="96"/>
      <c r="L60" s="94">
        <f>SUM(L50:L56,L49)</f>
        <v>60667.174723710981</v>
      </c>
      <c r="M60" s="97"/>
      <c r="N60" s="98">
        <f>L60-H60</f>
        <v>2453.4464037109865</v>
      </c>
      <c r="O60" s="99">
        <f>IF((H60)=0,"",(N60/H60))</f>
        <v>4.2145495135175473E-2</v>
      </c>
      <c r="S60" s="72"/>
    </row>
    <row r="61" spans="2:19" ht="15.75" hidden="1" thickBot="1" x14ac:dyDescent="0.3">
      <c r="B61" s="100" t="s">
        <v>41</v>
      </c>
      <c r="C61" s="22"/>
      <c r="D61" s="22"/>
      <c r="E61" s="22"/>
      <c r="F61" s="101">
        <v>0.13</v>
      </c>
      <c r="G61" s="102"/>
      <c r="H61" s="103">
        <f>H60*F61</f>
        <v>7567.7846815999992</v>
      </c>
      <c r="I61" s="104"/>
      <c r="J61" s="105">
        <v>0.13</v>
      </c>
      <c r="K61" s="104"/>
      <c r="L61" s="106">
        <f>L60*J61</f>
        <v>7886.7327140824282</v>
      </c>
      <c r="M61" s="107"/>
      <c r="N61" s="108">
        <f t="shared" si="2"/>
        <v>318.94803248242897</v>
      </c>
      <c r="O61" s="109">
        <f t="shared" si="12"/>
        <v>4.214549513517557E-2</v>
      </c>
      <c r="S61" s="72"/>
    </row>
    <row r="62" spans="2:19" ht="15.75" hidden="1" thickBot="1" x14ac:dyDescent="0.3">
      <c r="B62" s="110" t="s">
        <v>42</v>
      </c>
      <c r="C62" s="22"/>
      <c r="D62" s="22"/>
      <c r="E62" s="22"/>
      <c r="F62" s="111"/>
      <c r="G62" s="102"/>
      <c r="H62" s="103">
        <f>H60+H61</f>
        <v>65781.513001599989</v>
      </c>
      <c r="I62" s="104"/>
      <c r="J62" s="104"/>
      <c r="K62" s="104"/>
      <c r="L62" s="106">
        <f>L60+L61</f>
        <v>68553.907437793416</v>
      </c>
      <c r="M62" s="107"/>
      <c r="N62" s="108">
        <f t="shared" si="2"/>
        <v>2772.3944361934264</v>
      </c>
      <c r="O62" s="109">
        <f t="shared" si="12"/>
        <v>4.2145495135175653E-2</v>
      </c>
      <c r="S62" s="72"/>
    </row>
    <row r="63" spans="2:19" ht="15.75" hidden="1" customHeight="1" x14ac:dyDescent="0.3">
      <c r="B63" s="240" t="s">
        <v>43</v>
      </c>
      <c r="C63" s="240"/>
      <c r="D63" s="240"/>
      <c r="E63" s="22"/>
      <c r="F63" s="111"/>
      <c r="G63" s="102"/>
      <c r="H63" s="112">
        <f>ROUND(-H62*10%,2)</f>
        <v>-6578.15</v>
      </c>
      <c r="I63" s="104"/>
      <c r="J63" s="104"/>
      <c r="K63" s="104"/>
      <c r="L63" s="113">
        <f>ROUND(-L62*10%,2)</f>
        <v>-6855.39</v>
      </c>
      <c r="M63" s="107"/>
      <c r="N63" s="114">
        <f t="shared" si="2"/>
        <v>-277.24000000000069</v>
      </c>
      <c r="O63" s="115">
        <f t="shared" si="12"/>
        <v>4.2145588045271194E-2</v>
      </c>
    </row>
    <row r="64" spans="2:19" ht="15.75" hidden="1" thickBot="1" x14ac:dyDescent="0.3">
      <c r="B64" s="246" t="s">
        <v>44</v>
      </c>
      <c r="C64" s="246"/>
      <c r="D64" s="246"/>
      <c r="E64" s="116"/>
      <c r="F64" s="117"/>
      <c r="G64" s="118"/>
      <c r="H64" s="119">
        <f>H62+H63</f>
        <v>59203.363001599988</v>
      </c>
      <c r="I64" s="120"/>
      <c r="J64" s="120"/>
      <c r="K64" s="120"/>
      <c r="L64" s="121">
        <f>L62+L63</f>
        <v>61698.517437793416</v>
      </c>
      <c r="M64" s="122"/>
      <c r="N64" s="123">
        <f t="shared" si="2"/>
        <v>2495.1544361934284</v>
      </c>
      <c r="O64" s="124">
        <f t="shared" si="12"/>
        <v>4.2145484811834021E-2</v>
      </c>
    </row>
    <row r="65" spans="1:15" s="73" customFormat="1" ht="8.25" hidden="1" customHeight="1" x14ac:dyDescent="0.25">
      <c r="B65" s="125"/>
      <c r="C65" s="126"/>
      <c r="D65" s="127"/>
      <c r="E65" s="126"/>
      <c r="F65" s="84"/>
      <c r="G65" s="128"/>
      <c r="H65" s="86"/>
      <c r="I65" s="129"/>
      <c r="J65" s="84"/>
      <c r="K65" s="130"/>
      <c r="L65" s="86"/>
      <c r="M65" s="129"/>
      <c r="N65" s="131"/>
      <c r="O65" s="90"/>
    </row>
    <row r="66" spans="1:15" s="73" customFormat="1" ht="12.75" x14ac:dyDescent="0.2">
      <c r="B66" s="132" t="s">
        <v>45</v>
      </c>
      <c r="C66" s="75"/>
      <c r="D66" s="75"/>
      <c r="E66" s="75"/>
      <c r="F66" s="133"/>
      <c r="G66" s="134"/>
      <c r="H66" s="135">
        <f>SUM(H54,H49,H50:H53)</f>
        <v>58213.728320000002</v>
      </c>
      <c r="I66" s="136"/>
      <c r="J66" s="137"/>
      <c r="K66" s="137"/>
      <c r="L66" s="188">
        <f>SUM(L54,L49,L50:L53)</f>
        <v>60667.174723710981</v>
      </c>
      <c r="M66" s="138"/>
      <c r="N66" s="139">
        <f>L66-H66</f>
        <v>2453.4464037109792</v>
      </c>
      <c r="O66" s="99">
        <f>IF((H66)=0,"",(N66/H66))</f>
        <v>4.2145495135175341E-2</v>
      </c>
    </row>
    <row r="67" spans="1:15" s="73" customFormat="1" ht="12.75" x14ac:dyDescent="0.2">
      <c r="B67" s="140" t="s">
        <v>41</v>
      </c>
      <c r="C67" s="75"/>
      <c r="D67" s="75"/>
      <c r="E67" s="75"/>
      <c r="F67" s="141">
        <v>0.13</v>
      </c>
      <c r="G67" s="134"/>
      <c r="H67" s="142">
        <f>H66*F67</f>
        <v>7567.7846816000001</v>
      </c>
      <c r="I67" s="143"/>
      <c r="J67" s="144">
        <v>0.13</v>
      </c>
      <c r="K67" s="145"/>
      <c r="L67" s="146">
        <f>L66*J67</f>
        <v>7886.7327140824282</v>
      </c>
      <c r="M67" s="147"/>
      <c r="N67" s="148">
        <f>L67-H67</f>
        <v>318.94803248242806</v>
      </c>
      <c r="O67" s="109">
        <f>IF((H67)=0,"",(N67/H67))</f>
        <v>4.2145495135175445E-2</v>
      </c>
    </row>
    <row r="68" spans="1:15" s="73" customFormat="1" ht="12.75" x14ac:dyDescent="0.2">
      <c r="B68" s="149" t="s">
        <v>42</v>
      </c>
      <c r="C68" s="75"/>
      <c r="D68" s="75"/>
      <c r="E68" s="75"/>
      <c r="F68" s="150"/>
      <c r="G68" s="151"/>
      <c r="H68" s="142">
        <f>H66+H67</f>
        <v>65781.513001600004</v>
      </c>
      <c r="I68" s="143"/>
      <c r="J68" s="143"/>
      <c r="K68" s="143"/>
      <c r="L68" s="146">
        <f>L66+L67</f>
        <v>68553.907437793416</v>
      </c>
      <c r="M68" s="147"/>
      <c r="N68" s="148">
        <f>L68-H68</f>
        <v>2772.3944361934118</v>
      </c>
      <c r="O68" s="109">
        <f>IF((H68)=0,"",(N68/H68))</f>
        <v>4.2145495135175425E-2</v>
      </c>
    </row>
    <row r="69" spans="1:15" s="73" customFormat="1" ht="15.75" customHeight="1" x14ac:dyDescent="0.2">
      <c r="B69" s="241" t="s">
        <v>43</v>
      </c>
      <c r="C69" s="241"/>
      <c r="D69" s="241"/>
      <c r="E69" s="75"/>
      <c r="F69" s="150"/>
      <c r="G69" s="151"/>
      <c r="H69" s="152"/>
      <c r="I69" s="143"/>
      <c r="J69" s="143"/>
      <c r="K69" s="143"/>
      <c r="L69" s="153"/>
      <c r="M69" s="147"/>
      <c r="N69" s="154">
        <f>L69-H69</f>
        <v>0</v>
      </c>
      <c r="O69" s="115" t="str">
        <f>IF((H69)=0,"",(N69/H69))</f>
        <v/>
      </c>
    </row>
    <row r="70" spans="1:15" s="73" customFormat="1" ht="13.5" thickBot="1" x14ac:dyDescent="0.25">
      <c r="B70" s="233" t="s">
        <v>46</v>
      </c>
      <c r="C70" s="233"/>
      <c r="D70" s="233"/>
      <c r="E70" s="155"/>
      <c r="F70" s="156"/>
      <c r="G70" s="157"/>
      <c r="H70" s="158">
        <f>SUM(H68:H69)</f>
        <v>65781.513001600004</v>
      </c>
      <c r="I70" s="159"/>
      <c r="J70" s="159"/>
      <c r="K70" s="159"/>
      <c r="L70" s="160">
        <f>SUM(L68:L69)</f>
        <v>68553.907437793416</v>
      </c>
      <c r="M70" s="161"/>
      <c r="N70" s="162">
        <f>L70-H70</f>
        <v>2772.3944361934118</v>
      </c>
      <c r="O70" s="163">
        <f>IF((H70)=0,"",(N70/H70))</f>
        <v>4.2145495135175425E-2</v>
      </c>
    </row>
    <row r="71" spans="1:15" s="73" customFormat="1" ht="8.25" customHeight="1" thickBot="1" x14ac:dyDescent="0.25">
      <c r="B71" s="125"/>
      <c r="C71" s="126"/>
      <c r="D71" s="127"/>
      <c r="E71" s="126"/>
      <c r="F71" s="164"/>
      <c r="G71" s="165"/>
      <c r="H71" s="166"/>
      <c r="I71" s="167"/>
      <c r="J71" s="164"/>
      <c r="K71" s="128"/>
      <c r="L71" s="168"/>
      <c r="M71" s="129"/>
      <c r="N71" s="169"/>
      <c r="O71" s="90"/>
    </row>
    <row r="72" spans="1:15" ht="10.5" customHeight="1" x14ac:dyDescent="0.25">
      <c r="L72" s="72"/>
    </row>
    <row r="73" spans="1:15" x14ac:dyDescent="0.25">
      <c r="B73" s="13" t="s">
        <v>47</v>
      </c>
      <c r="F73" s="170">
        <v>4.8000000000000001E-2</v>
      </c>
      <c r="J73" s="170">
        <f>'Res (100kWh)'!$J$74</f>
        <v>4.7100000000000003E-2</v>
      </c>
    </row>
    <row r="74" spans="1:15" ht="10.5" customHeight="1" x14ac:dyDescent="0.25"/>
    <row r="75" spans="1:15" x14ac:dyDescent="0.25">
      <c r="A75" s="171" t="s">
        <v>48</v>
      </c>
    </row>
    <row r="76" spans="1:15" ht="10.5" customHeight="1" x14ac:dyDescent="0.25"/>
    <row r="77" spans="1:15" x14ac:dyDescent="0.25">
      <c r="A77" s="7" t="s">
        <v>49</v>
      </c>
    </row>
    <row r="78" spans="1:15" x14ac:dyDescent="0.25">
      <c r="A78" s="7" t="s">
        <v>50</v>
      </c>
    </row>
    <row r="80" spans="1:15" x14ac:dyDescent="0.25">
      <c r="A80" s="12" t="s">
        <v>51</v>
      </c>
    </row>
    <row r="81" spans="1:2" x14ac:dyDescent="0.25">
      <c r="A81" s="12" t="s">
        <v>52</v>
      </c>
    </row>
    <row r="83" spans="1:2" x14ac:dyDescent="0.25">
      <c r="A83" s="7" t="s">
        <v>53</v>
      </c>
    </row>
    <row r="84" spans="1:2" x14ac:dyDescent="0.25">
      <c r="A84" s="7" t="s">
        <v>54</v>
      </c>
    </row>
    <row r="85" spans="1:2" x14ac:dyDescent="0.25">
      <c r="A85" s="7" t="s">
        <v>55</v>
      </c>
    </row>
    <row r="86" spans="1:2" x14ac:dyDescent="0.25">
      <c r="A86" s="7" t="s">
        <v>56</v>
      </c>
    </row>
    <row r="87" spans="1:2" x14ac:dyDescent="0.25">
      <c r="A87" s="7" t="s">
        <v>57</v>
      </c>
    </row>
    <row r="89" spans="1:2" x14ac:dyDescent="0.25">
      <c r="A89" s="172"/>
      <c r="B89" s="7" t="s">
        <v>58</v>
      </c>
    </row>
  </sheetData>
  <mergeCells count="17">
    <mergeCell ref="B63:D63"/>
    <mergeCell ref="B64:D64"/>
    <mergeCell ref="B69:D69"/>
    <mergeCell ref="B70:D70"/>
    <mergeCell ref="D12:O12"/>
    <mergeCell ref="F18:H18"/>
    <mergeCell ref="J18:L18"/>
    <mergeCell ref="N18:O18"/>
    <mergeCell ref="D19:D20"/>
    <mergeCell ref="N19:N20"/>
    <mergeCell ref="O19:O20"/>
    <mergeCell ref="B9:O9"/>
    <mergeCell ref="N1:O1"/>
    <mergeCell ref="N2:O2"/>
    <mergeCell ref="N3:O3"/>
    <mergeCell ref="N5:O5"/>
    <mergeCell ref="B8:O8"/>
  </mergeCells>
  <dataValidations count="3">
    <dataValidation type="list" allowBlank="1" showInputMessage="1" showErrorMessage="1" sqref="E47:E48 E39:E45 E21:E37 E50:E59 E71 E65">
      <formula1>#REF!</formula1>
    </dataValidation>
    <dataValidation type="list" allowBlank="1" showInputMessage="1" showErrorMessage="1" prompt="Select Charge Unit - monthly, per kWh, per kW" sqref="D47:D48 D39:D45 D65 D50:D59 D71 D21:D37">
      <formula1>"Monthly, per kWh, per kW"</formula1>
    </dataValidation>
    <dataValidation type="list" allowBlank="1" showInputMessage="1" showErrorMessage="1" sqref="D14">
      <formula1>"TOU, non-TOU"</formula1>
    </dataValidation>
  </dataValidations>
  <pageMargins left="0.7" right="0.7" top="0.75" bottom="0.75" header="0.3" footer="0.3"/>
  <pageSetup scale="56" fitToHeight="0" orientation="portrait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8">
    <tabColor theme="0" tint="-0.14999847407452621"/>
    <pageSetUpPr fitToPage="1"/>
  </sheetPr>
  <dimension ref="A1:T88"/>
  <sheetViews>
    <sheetView showGridLines="0" workbookViewId="0">
      <selection activeCell="L1" sqref="L1:O5"/>
    </sheetView>
  </sheetViews>
  <sheetFormatPr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9" style="7" bestFit="1" customWidth="1"/>
    <col min="8" max="8" width="14.28515625" style="7" bestFit="1" customWidth="1"/>
    <col min="9" max="9" width="2.85546875" style="7" customWidth="1"/>
    <col min="10" max="10" width="12.140625" style="7" customWidth="1"/>
    <col min="11" max="11" width="9" style="7" bestFit="1" customWidth="1"/>
    <col min="12" max="12" width="14.28515625" style="7" bestFit="1" customWidth="1"/>
    <col min="13" max="13" width="2.85546875" style="7" customWidth="1"/>
    <col min="14" max="14" width="12.7109375" style="7" bestFit="1" customWidth="1"/>
    <col min="15" max="15" width="10.85546875" style="7" bestFit="1" customWidth="1"/>
    <col min="16" max="16" width="3.8554687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248" t="str">
        <f>'Res (100kWh)'!$N$1:$O$1</f>
        <v>EB-2014-0099</v>
      </c>
      <c r="O1" s="248"/>
      <c r="P1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94</v>
      </c>
      <c r="N2" s="249">
        <f>'Res (100kWh)'!$N$2:$O$2</f>
        <v>8</v>
      </c>
      <c r="O2" s="249"/>
      <c r="P2"/>
    </row>
    <row r="3" spans="1:20" s="2" customFormat="1" ht="15" customHeight="1" x14ac:dyDescent="0.25">
      <c r="C3" s="6"/>
      <c r="D3" s="6"/>
      <c r="E3" s="6"/>
      <c r="L3" s="3" t="s">
        <v>95</v>
      </c>
      <c r="N3" s="248" t="str">
        <f>'Res (100kWh)'!$N$3:$O$3</f>
        <v>8-B</v>
      </c>
      <c r="O3" s="248"/>
      <c r="P3"/>
    </row>
    <row r="4" spans="1:20" s="2" customFormat="1" ht="9" customHeight="1" x14ac:dyDescent="0.25">
      <c r="L4" s="3"/>
      <c r="N4" s="232"/>
      <c r="O4"/>
      <c r="P4"/>
    </row>
    <row r="5" spans="1:20" s="2" customFormat="1" x14ac:dyDescent="0.25">
      <c r="L5" s="3" t="s">
        <v>75</v>
      </c>
      <c r="N5" s="248">
        <f>'Res (100kWh)'!$N$5:$O$5</f>
        <v>42118</v>
      </c>
      <c r="O5" s="248"/>
      <c r="P5"/>
    </row>
    <row r="6" spans="1:20" s="2" customFormat="1" ht="15" customHeight="1" x14ac:dyDescent="0.25">
      <c r="N6" s="7"/>
      <c r="O6"/>
      <c r="P6"/>
    </row>
    <row r="7" spans="1:20" ht="7.5" customHeight="1" x14ac:dyDescent="0.25">
      <c r="L7"/>
      <c r="M7"/>
      <c r="N7"/>
      <c r="O7"/>
      <c r="P7"/>
    </row>
    <row r="8" spans="1:20" ht="18.75" customHeight="1" x14ac:dyDescent="0.25">
      <c r="B8" s="247" t="s">
        <v>1</v>
      </c>
      <c r="C8" s="247"/>
      <c r="D8" s="247"/>
      <c r="E8" s="247"/>
      <c r="F8" s="247"/>
      <c r="G8" s="247"/>
      <c r="H8" s="247"/>
      <c r="I8" s="247"/>
      <c r="J8" s="247"/>
      <c r="K8" s="247"/>
      <c r="L8" s="247"/>
      <c r="M8" s="247"/>
      <c r="N8" s="247"/>
      <c r="O8" s="247"/>
      <c r="P8"/>
    </row>
    <row r="9" spans="1:20" ht="18.75" customHeight="1" x14ac:dyDescent="0.25">
      <c r="B9" s="247" t="s">
        <v>2</v>
      </c>
      <c r="C9" s="247"/>
      <c r="D9" s="247"/>
      <c r="E9" s="247"/>
      <c r="F9" s="247"/>
      <c r="G9" s="247"/>
      <c r="H9" s="247"/>
      <c r="I9" s="247"/>
      <c r="J9" s="247"/>
      <c r="K9" s="247"/>
      <c r="L9" s="247"/>
      <c r="M9" s="247"/>
      <c r="N9" s="247"/>
      <c r="O9" s="247"/>
      <c r="P9"/>
    </row>
    <row r="10" spans="1:20" ht="7.5" customHeight="1" x14ac:dyDescent="0.25">
      <c r="L10"/>
      <c r="M10"/>
      <c r="N10"/>
      <c r="O10"/>
      <c r="P10"/>
    </row>
    <row r="11" spans="1:20" ht="7.5" customHeight="1" x14ac:dyDescent="0.25">
      <c r="L11"/>
      <c r="M11"/>
      <c r="N11"/>
      <c r="O11"/>
      <c r="P11"/>
    </row>
    <row r="12" spans="1:20" ht="15.75" x14ac:dyDescent="0.25">
      <c r="B12" s="8" t="s">
        <v>3</v>
      </c>
      <c r="D12" s="242" t="s">
        <v>82</v>
      </c>
      <c r="E12" s="242"/>
      <c r="F12" s="242"/>
      <c r="G12" s="242"/>
      <c r="H12" s="242"/>
      <c r="I12" s="242"/>
      <c r="J12" s="242"/>
      <c r="K12" s="242"/>
      <c r="L12" s="242"/>
      <c r="M12" s="242"/>
      <c r="N12" s="242"/>
      <c r="O12" s="242"/>
    </row>
    <row r="13" spans="1:20" ht="7.5" customHeight="1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68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x14ac:dyDescent="0.25">
      <c r="B16" s="12"/>
      <c r="D16" s="13" t="s">
        <v>6</v>
      </c>
      <c r="E16" s="13"/>
      <c r="F16" s="14">
        <v>150</v>
      </c>
      <c r="G16" s="13" t="s">
        <v>7</v>
      </c>
      <c r="H16" s="14">
        <v>1</v>
      </c>
      <c r="I16" s="13" t="s">
        <v>69</v>
      </c>
    </row>
    <row r="17" spans="2:15" x14ac:dyDescent="0.25">
      <c r="B17" s="12"/>
    </row>
    <row r="18" spans="2:15" x14ac:dyDescent="0.25">
      <c r="B18" s="12"/>
      <c r="D18" s="15"/>
      <c r="E18" s="15"/>
      <c r="F18" s="243" t="s">
        <v>8</v>
      </c>
      <c r="G18" s="244"/>
      <c r="H18" s="245"/>
      <c r="J18" s="243" t="s">
        <v>9</v>
      </c>
      <c r="K18" s="244"/>
      <c r="L18" s="245"/>
      <c r="N18" s="243" t="s">
        <v>10</v>
      </c>
      <c r="O18" s="245"/>
    </row>
    <row r="19" spans="2:15" x14ac:dyDescent="0.25">
      <c r="B19" s="12"/>
      <c r="D19" s="234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236" t="s">
        <v>15</v>
      </c>
      <c r="O19" s="238" t="s">
        <v>16</v>
      </c>
    </row>
    <row r="20" spans="2:15" x14ac:dyDescent="0.25">
      <c r="B20" s="12"/>
      <c r="D20" s="235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237"/>
      <c r="O20" s="239"/>
    </row>
    <row r="21" spans="2:15" ht="22.5" customHeight="1" x14ac:dyDescent="0.25">
      <c r="B21" s="22" t="s">
        <v>18</v>
      </c>
      <c r="C21" s="22"/>
      <c r="D21" s="23" t="s">
        <v>60</v>
      </c>
      <c r="E21" s="24"/>
      <c r="F21" s="174">
        <f>'[2]2014 Existing Rates'!$B$11</f>
        <v>4.42</v>
      </c>
      <c r="G21" s="26">
        <v>1</v>
      </c>
      <c r="H21" s="27">
        <f>G21*F21</f>
        <v>4.42</v>
      </c>
      <c r="I21" s="28"/>
      <c r="J21" s="173">
        <f>'[2]Rate Schedule '!$E$41</f>
        <v>5.0510999999999999</v>
      </c>
      <c r="K21" s="30">
        <v>1</v>
      </c>
      <c r="L21" s="27">
        <f>K21*J21</f>
        <v>5.0510999999999999</v>
      </c>
      <c r="M21" s="28"/>
      <c r="N21" s="31">
        <f>L21-H21</f>
        <v>0.63109999999999999</v>
      </c>
      <c r="O21" s="32">
        <f>IF((H21)=0,"",(N21/H21))</f>
        <v>0.14278280542986427</v>
      </c>
    </row>
    <row r="22" spans="2:15" ht="36.75" customHeight="1" x14ac:dyDescent="0.25">
      <c r="B22" s="65" t="s">
        <v>62</v>
      </c>
      <c r="C22" s="22"/>
      <c r="D22" s="56" t="s">
        <v>60</v>
      </c>
      <c r="E22" s="24"/>
      <c r="F22" s="173"/>
      <c r="G22" s="26">
        <v>1</v>
      </c>
      <c r="H22" s="27">
        <f t="shared" ref="H22:H36" si="0">G22*F22</f>
        <v>0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0</v>
      </c>
      <c r="O22" s="32" t="str">
        <f>IF((H22)=0,"",(N22/H22))</f>
        <v/>
      </c>
    </row>
    <row r="23" spans="2:15" hidden="1" x14ac:dyDescent="0.25">
      <c r="B23" s="175"/>
      <c r="C23" s="22"/>
      <c r="D23" s="56" t="s">
        <v>60</v>
      </c>
      <c r="E23" s="57"/>
      <c r="F23" s="173"/>
      <c r="G23" s="26">
        <v>1</v>
      </c>
      <c r="H23" s="27">
        <f t="shared" si="0"/>
        <v>0</v>
      </c>
      <c r="I23" s="28"/>
      <c r="J23" s="29"/>
      <c r="K23" s="30">
        <v>1</v>
      </c>
      <c r="L23" s="27">
        <f t="shared" ref="L23:L36" si="1">K23*J23</f>
        <v>0</v>
      </c>
      <c r="M23" s="28"/>
      <c r="N23" s="31">
        <f t="shared" ref="N23:N63" si="2">L23-H23</f>
        <v>0</v>
      </c>
      <c r="O23" s="32" t="str">
        <f t="shared" ref="O23:O43" si="3">IF((H23)=0,"",(N23/H23))</f>
        <v/>
      </c>
    </row>
    <row r="24" spans="2:15" hidden="1" x14ac:dyDescent="0.25">
      <c r="B24" s="175"/>
      <c r="C24" s="22"/>
      <c r="D24" s="56" t="s">
        <v>60</v>
      </c>
      <c r="E24" s="24"/>
      <c r="F24" s="25"/>
      <c r="G24" s="26">
        <v>1</v>
      </c>
      <c r="H24" s="27">
        <f t="shared" si="0"/>
        <v>0</v>
      </c>
      <c r="I24" s="28"/>
      <c r="J24" s="173"/>
      <c r="K24" s="30">
        <v>1</v>
      </c>
      <c r="L24" s="27">
        <f t="shared" si="1"/>
        <v>0</v>
      </c>
      <c r="M24" s="28"/>
      <c r="N24" s="31">
        <f t="shared" si="2"/>
        <v>0</v>
      </c>
      <c r="O24" s="32" t="str">
        <f t="shared" si="3"/>
        <v/>
      </c>
    </row>
    <row r="25" spans="2:15" x14ac:dyDescent="0.25">
      <c r="B25" s="46" t="s">
        <v>65</v>
      </c>
      <c r="C25" s="22"/>
      <c r="D25" s="23" t="s">
        <v>70</v>
      </c>
      <c r="E25" s="24"/>
      <c r="F25" s="25">
        <v>-0.22969999999999999</v>
      </c>
      <c r="G25" s="178">
        <f>$H$16</f>
        <v>1</v>
      </c>
      <c r="H25" s="27">
        <f t="shared" si="0"/>
        <v>-0.22969999999999999</v>
      </c>
      <c r="I25" s="28"/>
      <c r="J25" s="29"/>
      <c r="K25" s="178">
        <f>$H$16</f>
        <v>1</v>
      </c>
      <c r="L25" s="27">
        <f t="shared" si="1"/>
        <v>0</v>
      </c>
      <c r="M25" s="28"/>
      <c r="N25" s="31">
        <f t="shared" si="2"/>
        <v>0.22969999999999999</v>
      </c>
      <c r="O25" s="32">
        <f t="shared" si="3"/>
        <v>-1</v>
      </c>
    </row>
    <row r="26" spans="2:15" x14ac:dyDescent="0.25">
      <c r="B26" s="46" t="s">
        <v>66</v>
      </c>
      <c r="C26" s="22"/>
      <c r="D26" s="23" t="s">
        <v>70</v>
      </c>
      <c r="E26" s="24"/>
      <c r="F26" s="25"/>
      <c r="G26" s="178">
        <f>$H$16</f>
        <v>1</v>
      </c>
      <c r="H26" s="27">
        <f t="shared" si="0"/>
        <v>0</v>
      </c>
      <c r="I26" s="28"/>
      <c r="J26" s="29">
        <f>'[4]6. Rate Rider Calculations'!$F$80</f>
        <v>-2.4156200759230537</v>
      </c>
      <c r="K26" s="178">
        <f>$H$16</f>
        <v>1</v>
      </c>
      <c r="L26" s="27">
        <f t="shared" si="1"/>
        <v>-2.4156200759230537</v>
      </c>
      <c r="M26" s="28"/>
      <c r="N26" s="31">
        <f t="shared" si="2"/>
        <v>-2.4156200759230537</v>
      </c>
      <c r="O26" s="32" t="str">
        <f t="shared" si="3"/>
        <v/>
      </c>
    </row>
    <row r="27" spans="2:15" x14ac:dyDescent="0.25">
      <c r="B27" s="22" t="s">
        <v>19</v>
      </c>
      <c r="C27" s="22"/>
      <c r="D27" s="23" t="s">
        <v>70</v>
      </c>
      <c r="E27" s="24"/>
      <c r="F27" s="25">
        <f>'[2]2014 Existing Rates'!$D$11</f>
        <v>15.436999999999999</v>
      </c>
      <c r="G27" s="178">
        <f>$H$16</f>
        <v>1</v>
      </c>
      <c r="H27" s="27">
        <f t="shared" si="0"/>
        <v>15.436999999999999</v>
      </c>
      <c r="I27" s="28"/>
      <c r="J27" s="29">
        <f>'[2]Rate Schedule '!$E$42</f>
        <v>17.641100000000002</v>
      </c>
      <c r="K27" s="178">
        <f>$H$16</f>
        <v>1</v>
      </c>
      <c r="L27" s="27">
        <f t="shared" si="1"/>
        <v>17.641100000000002</v>
      </c>
      <c r="M27" s="28"/>
      <c r="N27" s="31">
        <f t="shared" si="2"/>
        <v>2.2041000000000022</v>
      </c>
      <c r="O27" s="32">
        <f t="shared" si="3"/>
        <v>0.14278033296625006</v>
      </c>
    </row>
    <row r="28" spans="2:15" hidden="1" x14ac:dyDescent="0.25">
      <c r="B28" s="22" t="s">
        <v>20</v>
      </c>
      <c r="C28" s="22"/>
      <c r="D28" s="23"/>
      <c r="E28" s="24"/>
      <c r="F28" s="25"/>
      <c r="G28" s="26">
        <f>$F$16</f>
        <v>150</v>
      </c>
      <c r="H28" s="27">
        <f t="shared" si="0"/>
        <v>0</v>
      </c>
      <c r="I28" s="28"/>
      <c r="J28" s="29"/>
      <c r="K28" s="26">
        <f t="shared" ref="K28:K36" si="4">$F$16</f>
        <v>150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hidden="1" x14ac:dyDescent="0.25">
      <c r="B29" s="22" t="s">
        <v>21</v>
      </c>
      <c r="C29" s="22"/>
      <c r="D29" s="23"/>
      <c r="E29" s="24"/>
      <c r="F29" s="25"/>
      <c r="G29" s="26">
        <f>$F$16</f>
        <v>150</v>
      </c>
      <c r="H29" s="27">
        <f t="shared" si="0"/>
        <v>0</v>
      </c>
      <c r="I29" s="28"/>
      <c r="J29" s="29"/>
      <c r="K29" s="26">
        <f t="shared" si="4"/>
        <v>150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idden="1" x14ac:dyDescent="0.25">
      <c r="B30" s="33"/>
      <c r="C30" s="22"/>
      <c r="D30" s="23"/>
      <c r="E30" s="24"/>
      <c r="F30" s="25"/>
      <c r="G30" s="26">
        <f t="shared" ref="G30:G36" si="5">$F$16</f>
        <v>150</v>
      </c>
      <c r="H30" s="27">
        <f t="shared" si="0"/>
        <v>0</v>
      </c>
      <c r="I30" s="28"/>
      <c r="J30" s="29"/>
      <c r="K30" s="26">
        <f t="shared" si="4"/>
        <v>150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idden="1" x14ac:dyDescent="0.25">
      <c r="B31" s="33"/>
      <c r="C31" s="22"/>
      <c r="D31" s="23"/>
      <c r="E31" s="24"/>
      <c r="F31" s="25"/>
      <c r="G31" s="26">
        <f t="shared" si="5"/>
        <v>150</v>
      </c>
      <c r="H31" s="27">
        <f t="shared" si="0"/>
        <v>0</v>
      </c>
      <c r="I31" s="28"/>
      <c r="J31" s="29"/>
      <c r="K31" s="26">
        <f t="shared" si="4"/>
        <v>150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idden="1" x14ac:dyDescent="0.25">
      <c r="B32" s="33"/>
      <c r="C32" s="22"/>
      <c r="D32" s="23"/>
      <c r="E32" s="24"/>
      <c r="F32" s="25"/>
      <c r="G32" s="26">
        <f t="shared" si="5"/>
        <v>150</v>
      </c>
      <c r="H32" s="27">
        <f t="shared" si="0"/>
        <v>0</v>
      </c>
      <c r="I32" s="28"/>
      <c r="J32" s="29"/>
      <c r="K32" s="26">
        <f t="shared" si="4"/>
        <v>150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idden="1" x14ac:dyDescent="0.25">
      <c r="B33" s="33"/>
      <c r="C33" s="22"/>
      <c r="D33" s="23"/>
      <c r="E33" s="24"/>
      <c r="F33" s="25"/>
      <c r="G33" s="26">
        <f t="shared" si="5"/>
        <v>150</v>
      </c>
      <c r="H33" s="27">
        <f t="shared" si="0"/>
        <v>0</v>
      </c>
      <c r="I33" s="28"/>
      <c r="J33" s="29"/>
      <c r="K33" s="26">
        <f t="shared" si="4"/>
        <v>150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idden="1" x14ac:dyDescent="0.25">
      <c r="B34" s="33"/>
      <c r="C34" s="22"/>
      <c r="D34" s="23"/>
      <c r="E34" s="24"/>
      <c r="F34" s="25"/>
      <c r="G34" s="26">
        <f t="shared" si="5"/>
        <v>150</v>
      </c>
      <c r="H34" s="27">
        <f t="shared" si="0"/>
        <v>0</v>
      </c>
      <c r="I34" s="28"/>
      <c r="J34" s="29"/>
      <c r="K34" s="26">
        <f t="shared" si="4"/>
        <v>150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idden="1" x14ac:dyDescent="0.25">
      <c r="B35" s="33"/>
      <c r="C35" s="22"/>
      <c r="D35" s="23"/>
      <c r="E35" s="24"/>
      <c r="F35" s="25"/>
      <c r="G35" s="26">
        <f t="shared" si="5"/>
        <v>150</v>
      </c>
      <c r="H35" s="27">
        <f t="shared" si="0"/>
        <v>0</v>
      </c>
      <c r="I35" s="28"/>
      <c r="J35" s="29"/>
      <c r="K35" s="26">
        <f t="shared" si="4"/>
        <v>150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idden="1" x14ac:dyDescent="0.25">
      <c r="B36" s="33"/>
      <c r="C36" s="22"/>
      <c r="D36" s="23"/>
      <c r="E36" s="24"/>
      <c r="F36" s="25"/>
      <c r="G36" s="26">
        <f t="shared" si="5"/>
        <v>150</v>
      </c>
      <c r="H36" s="27">
        <f t="shared" si="0"/>
        <v>0</v>
      </c>
      <c r="I36" s="28"/>
      <c r="J36" s="29"/>
      <c r="K36" s="26">
        <f t="shared" si="4"/>
        <v>150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x14ac:dyDescent="0.25">
      <c r="B37" s="35" t="s">
        <v>22</v>
      </c>
      <c r="C37" s="36"/>
      <c r="D37" s="37"/>
      <c r="E37" s="36"/>
      <c r="F37" s="38"/>
      <c r="G37" s="39"/>
      <c r="H37" s="40">
        <f>SUM(H21:H36)</f>
        <v>19.627299999999998</v>
      </c>
      <c r="I37" s="41"/>
      <c r="J37" s="42"/>
      <c r="K37" s="43"/>
      <c r="L37" s="40">
        <f>SUM(L21:L36)</f>
        <v>20.276579924076948</v>
      </c>
      <c r="M37" s="41"/>
      <c r="N37" s="44">
        <f t="shared" si="2"/>
        <v>0.64927992407695001</v>
      </c>
      <c r="O37" s="45">
        <f t="shared" si="3"/>
        <v>3.3080450396995517E-2</v>
      </c>
    </row>
    <row r="38" spans="2:15" x14ac:dyDescent="0.25">
      <c r="B38" s="46" t="s">
        <v>23</v>
      </c>
      <c r="C38" s="22"/>
      <c r="D38" s="56" t="s">
        <v>70</v>
      </c>
      <c r="E38" s="57"/>
      <c r="F38" s="29">
        <v>-0.36430000000000001</v>
      </c>
      <c r="G38" s="178">
        <f>G27</f>
        <v>1</v>
      </c>
      <c r="H38" s="27">
        <f t="shared" ref="H38:H44" si="6">G38*F38</f>
        <v>-0.36430000000000001</v>
      </c>
      <c r="I38" s="28"/>
      <c r="J38" s="29">
        <f>'[4]6. Rate Rider Calculations'!$F$25</f>
        <v>-4.3391414870616778</v>
      </c>
      <c r="K38" s="178">
        <f>H16</f>
        <v>1</v>
      </c>
      <c r="L38" s="27">
        <f t="shared" ref="L38:L44" si="7">K38*J38</f>
        <v>-4.3391414870616778</v>
      </c>
      <c r="M38" s="28"/>
      <c r="N38" s="31">
        <f t="shared" si="2"/>
        <v>-3.9748414870616777</v>
      </c>
      <c r="O38" s="32">
        <f t="shared" si="3"/>
        <v>10.910901693828377</v>
      </c>
    </row>
    <row r="39" spans="2:15" hidden="1" x14ac:dyDescent="0.25">
      <c r="B39" s="46"/>
      <c r="C39" s="22"/>
      <c r="D39" s="23" t="s">
        <v>70</v>
      </c>
      <c r="E39" s="24"/>
      <c r="F39" s="25"/>
      <c r="G39" s="178">
        <f>H16</f>
        <v>1</v>
      </c>
      <c r="H39" s="27">
        <f t="shared" si="6"/>
        <v>0</v>
      </c>
      <c r="I39" s="47"/>
      <c r="J39" s="29"/>
      <c r="K39" s="178">
        <f>H16</f>
        <v>1</v>
      </c>
      <c r="L39" s="27">
        <f t="shared" si="7"/>
        <v>0</v>
      </c>
      <c r="M39" s="48"/>
      <c r="N39" s="31">
        <f t="shared" si="2"/>
        <v>0</v>
      </c>
      <c r="O39" s="32" t="str">
        <f t="shared" si="3"/>
        <v/>
      </c>
    </row>
    <row r="40" spans="2:15" hidden="1" x14ac:dyDescent="0.25">
      <c r="B40" s="46"/>
      <c r="C40" s="22"/>
      <c r="D40" s="23" t="s">
        <v>70</v>
      </c>
      <c r="E40" s="24"/>
      <c r="F40" s="25"/>
      <c r="G40" s="178">
        <f>H16</f>
        <v>1</v>
      </c>
      <c r="H40" s="27">
        <f t="shared" si="6"/>
        <v>0</v>
      </c>
      <c r="I40" s="47"/>
      <c r="J40" s="29"/>
      <c r="K40" s="178">
        <f>H16</f>
        <v>1</v>
      </c>
      <c r="L40" s="27">
        <f t="shared" si="7"/>
        <v>0</v>
      </c>
      <c r="M40" s="48"/>
      <c r="N40" s="31">
        <f t="shared" si="2"/>
        <v>0</v>
      </c>
      <c r="O40" s="32" t="str">
        <f t="shared" si="3"/>
        <v/>
      </c>
    </row>
    <row r="41" spans="2:15" ht="30" customHeight="1" x14ac:dyDescent="0.25">
      <c r="B41" s="46" t="s">
        <v>74</v>
      </c>
      <c r="C41" s="22"/>
      <c r="D41" s="23" t="s">
        <v>70</v>
      </c>
      <c r="E41" s="24"/>
      <c r="F41" s="29">
        <v>0.1658</v>
      </c>
      <c r="G41" s="178">
        <f>H16</f>
        <v>1</v>
      </c>
      <c r="H41" s="27">
        <f t="shared" si="6"/>
        <v>0.1658</v>
      </c>
      <c r="I41" s="47"/>
      <c r="J41" s="29">
        <f>'[4]6. Rate Rider Calculations'!$F$52</f>
        <v>0.60560111124844973</v>
      </c>
      <c r="K41" s="178">
        <f>H16</f>
        <v>1</v>
      </c>
      <c r="L41" s="27">
        <f t="shared" si="7"/>
        <v>0.60560111124844973</v>
      </c>
      <c r="M41" s="48"/>
      <c r="N41" s="31">
        <f t="shared" si="2"/>
        <v>0.43980111124844973</v>
      </c>
      <c r="O41" s="32">
        <f t="shared" si="3"/>
        <v>2.6526001884707462</v>
      </c>
    </row>
    <row r="42" spans="2:15" x14ac:dyDescent="0.25">
      <c r="B42" s="49" t="s">
        <v>24</v>
      </c>
      <c r="C42" s="22"/>
      <c r="D42" s="23" t="s">
        <v>70</v>
      </c>
      <c r="E42" s="24"/>
      <c r="F42" s="25">
        <v>1.0999999999999999E-2</v>
      </c>
      <c r="G42" s="178">
        <f>H16</f>
        <v>1</v>
      </c>
      <c r="H42" s="27">
        <f t="shared" si="6"/>
        <v>1.0999999999999999E-2</v>
      </c>
      <c r="I42" s="28"/>
      <c r="J42" s="29">
        <f>'[2]Rate Schedule '!$E$43</f>
        <v>2.0400000000000001E-2</v>
      </c>
      <c r="K42" s="178">
        <f>H16</f>
        <v>1</v>
      </c>
      <c r="L42" s="27">
        <f t="shared" si="7"/>
        <v>2.0400000000000001E-2</v>
      </c>
      <c r="M42" s="28"/>
      <c r="N42" s="31">
        <f t="shared" si="2"/>
        <v>9.4000000000000021E-3</v>
      </c>
      <c r="O42" s="32">
        <f t="shared" si="3"/>
        <v>0.85454545454545483</v>
      </c>
    </row>
    <row r="43" spans="2:15" s="34" customFormat="1" x14ac:dyDescent="0.25">
      <c r="B43" s="180" t="s">
        <v>25</v>
      </c>
      <c r="C43" s="24"/>
      <c r="D43" s="181" t="s">
        <v>61</v>
      </c>
      <c r="E43" s="24"/>
      <c r="F43" s="182">
        <f>IF(ISBLANK(D14)=TRUE, 0, IF(D14="TOU", 0.64*$F$53+0.18*$F$54+0.18*$F$55, IF(AND(D14="non-TOU", G57&gt;0), F57,F56)))</f>
        <v>7.4999999999999997E-2</v>
      </c>
      <c r="G43" s="26">
        <f>$F$16*(1+$F$72)-$F$16</f>
        <v>7.2000000000000171</v>
      </c>
      <c r="H43" s="183">
        <f t="shared" si="6"/>
        <v>0.54000000000000126</v>
      </c>
      <c r="I43" s="57"/>
      <c r="J43" s="184">
        <f>IF(ISBLANK(D14)=TRUE, 0, IF(D14="TOU", 0.64*$F$53+0.18*$F$54+0.18*$F$55, IF(AND(D14="non-TOU", K57&gt;0), J57,J56)))</f>
        <v>7.4999999999999997E-2</v>
      </c>
      <c r="K43" s="26">
        <f>$F$16*(1+$J$72)-$F$16</f>
        <v>7.0649999999999977</v>
      </c>
      <c r="L43" s="183">
        <f t="shared" si="7"/>
        <v>0.52987499999999976</v>
      </c>
      <c r="M43" s="57"/>
      <c r="N43" s="185">
        <f t="shared" si="2"/>
        <v>-1.0125000000001494E-2</v>
      </c>
      <c r="O43" s="186">
        <f t="shared" si="3"/>
        <v>-1.8750000000002723E-2</v>
      </c>
    </row>
    <row r="44" spans="2:15" x14ac:dyDescent="0.25">
      <c r="B44" s="49" t="s">
        <v>26</v>
      </c>
      <c r="C44" s="22"/>
      <c r="D44" s="23" t="s">
        <v>60</v>
      </c>
      <c r="E44" s="24"/>
      <c r="F44" s="177"/>
      <c r="G44" s="26">
        <v>0</v>
      </c>
      <c r="H44" s="27">
        <f t="shared" si="6"/>
        <v>0</v>
      </c>
      <c r="I44" s="28"/>
      <c r="J44" s="177"/>
      <c r="K44" s="26">
        <v>0</v>
      </c>
      <c r="L44" s="27">
        <f t="shared" si="7"/>
        <v>0</v>
      </c>
      <c r="M44" s="28"/>
      <c r="N44" s="31">
        <f t="shared" si="2"/>
        <v>0</v>
      </c>
      <c r="O44" s="32"/>
    </row>
    <row r="45" spans="2:15" ht="25.5" x14ac:dyDescent="0.25">
      <c r="B45" s="50" t="s">
        <v>27</v>
      </c>
      <c r="C45" s="51"/>
      <c r="D45" s="51"/>
      <c r="E45" s="51"/>
      <c r="F45" s="52"/>
      <c r="G45" s="53"/>
      <c r="H45" s="54">
        <f>SUM(H38:H44)+H37</f>
        <v>19.979800000000001</v>
      </c>
      <c r="I45" s="41"/>
      <c r="J45" s="53"/>
      <c r="K45" s="55"/>
      <c r="L45" s="54">
        <f>SUM(L38:L44)+L37</f>
        <v>17.09331454826372</v>
      </c>
      <c r="M45" s="41"/>
      <c r="N45" s="44">
        <f t="shared" si="2"/>
        <v>-2.8864854517362808</v>
      </c>
      <c r="O45" s="45">
        <f t="shared" ref="O45:O63" si="8">IF((H45)=0,"",(N45/H45))</f>
        <v>-0.14447018747616497</v>
      </c>
    </row>
    <row r="46" spans="2:15" x14ac:dyDescent="0.25">
      <c r="B46" s="28" t="s">
        <v>28</v>
      </c>
      <c r="C46" s="28"/>
      <c r="D46" s="56" t="s">
        <v>70</v>
      </c>
      <c r="E46" s="57"/>
      <c r="F46" s="29">
        <v>2.0665</v>
      </c>
      <c r="G46" s="58">
        <f>H16</f>
        <v>1</v>
      </c>
      <c r="H46" s="27">
        <f>G46*F46</f>
        <v>2.0665</v>
      </c>
      <c r="I46" s="28"/>
      <c r="J46" s="29">
        <f>'[5]13. Final 2015 RTS Rates'!$F$31</f>
        <v>2.1330055152996081</v>
      </c>
      <c r="K46" s="59">
        <f>H16</f>
        <v>1</v>
      </c>
      <c r="L46" s="27">
        <f>K46*J46</f>
        <v>2.1330055152996081</v>
      </c>
      <c r="M46" s="28"/>
      <c r="N46" s="31">
        <f t="shared" si="2"/>
        <v>6.6505515299608131E-2</v>
      </c>
      <c r="O46" s="32">
        <f t="shared" si="8"/>
        <v>3.2182683425893116E-2</v>
      </c>
    </row>
    <row r="47" spans="2:15" x14ac:dyDescent="0.25">
      <c r="B47" s="60" t="s">
        <v>29</v>
      </c>
      <c r="C47" s="28"/>
      <c r="D47" s="56" t="s">
        <v>70</v>
      </c>
      <c r="E47" s="57"/>
      <c r="F47" s="29">
        <v>1.5992999999999999</v>
      </c>
      <c r="G47" s="58">
        <f>G46</f>
        <v>1</v>
      </c>
      <c r="H47" s="27">
        <f>G47*F47</f>
        <v>1.5992999999999999</v>
      </c>
      <c r="I47" s="28"/>
      <c r="J47" s="29">
        <f>'[5]13. Final 2015 RTS Rates'!$H$31</f>
        <v>1.6423074639311108</v>
      </c>
      <c r="K47" s="59">
        <f>K46</f>
        <v>1</v>
      </c>
      <c r="L47" s="27">
        <f>K47*J47</f>
        <v>1.6423074639311108</v>
      </c>
      <c r="M47" s="28"/>
      <c r="N47" s="31">
        <f t="shared" si="2"/>
        <v>4.3007463931110879E-2</v>
      </c>
      <c r="O47" s="32">
        <f t="shared" si="8"/>
        <v>2.6891429957550728E-2</v>
      </c>
    </row>
    <row r="48" spans="2:15" x14ac:dyDescent="0.25">
      <c r="B48" s="50" t="s">
        <v>30</v>
      </c>
      <c r="C48" s="36"/>
      <c r="D48" s="36"/>
      <c r="E48" s="36"/>
      <c r="F48" s="61"/>
      <c r="G48" s="53"/>
      <c r="H48" s="54">
        <f>SUM(H45:H47)</f>
        <v>23.645600000000002</v>
      </c>
      <c r="I48" s="62"/>
      <c r="J48" s="63"/>
      <c r="K48" s="64"/>
      <c r="L48" s="54">
        <f>SUM(L45:L47)</f>
        <v>20.868627527494439</v>
      </c>
      <c r="M48" s="62"/>
      <c r="N48" s="44">
        <f t="shared" si="2"/>
        <v>-2.7769724725055625</v>
      </c>
      <c r="O48" s="45">
        <f t="shared" si="8"/>
        <v>-0.1174414044264287</v>
      </c>
    </row>
    <row r="49" spans="2:19" x14ac:dyDescent="0.25">
      <c r="B49" s="65" t="s">
        <v>31</v>
      </c>
      <c r="C49" s="22"/>
      <c r="D49" s="23" t="s">
        <v>61</v>
      </c>
      <c r="E49" s="24"/>
      <c r="F49" s="66">
        <v>4.4000000000000003E-3</v>
      </c>
      <c r="G49" s="58">
        <f>F16*(1+F72)</f>
        <v>157.20000000000002</v>
      </c>
      <c r="H49" s="67">
        <f t="shared" ref="H49:H55" si="9">G49*F49</f>
        <v>0.69168000000000007</v>
      </c>
      <c r="I49" s="28"/>
      <c r="J49" s="66">
        <v>4.4000000000000003E-3</v>
      </c>
      <c r="K49" s="59">
        <f>F16*(1+J72)</f>
        <v>157.065</v>
      </c>
      <c r="L49" s="67">
        <f t="shared" ref="L49:L55" si="10">K49*J49</f>
        <v>0.69108599999999998</v>
      </c>
      <c r="M49" s="28"/>
      <c r="N49" s="31">
        <f t="shared" si="2"/>
        <v>-5.9400000000009445E-4</v>
      </c>
      <c r="O49" s="68">
        <f t="shared" si="8"/>
        <v>-8.5877862595433495E-4</v>
      </c>
    </row>
    <row r="50" spans="2:19" x14ac:dyDescent="0.25">
      <c r="B50" s="65" t="s">
        <v>32</v>
      </c>
      <c r="C50" s="22"/>
      <c r="D50" s="23" t="s">
        <v>61</v>
      </c>
      <c r="E50" s="24"/>
      <c r="F50" s="66">
        <v>1.2999999999999999E-3</v>
      </c>
      <c r="G50" s="58">
        <f>G49</f>
        <v>157.20000000000002</v>
      </c>
      <c r="H50" s="67">
        <f t="shared" si="9"/>
        <v>0.20436000000000001</v>
      </c>
      <c r="I50" s="28"/>
      <c r="J50" s="66">
        <v>1.2999999999999999E-3</v>
      </c>
      <c r="K50" s="59">
        <f>K49</f>
        <v>157.065</v>
      </c>
      <c r="L50" s="67">
        <f t="shared" si="10"/>
        <v>0.20418449999999999</v>
      </c>
      <c r="M50" s="28"/>
      <c r="N50" s="31">
        <f t="shared" si="2"/>
        <v>-1.7550000000002286E-4</v>
      </c>
      <c r="O50" s="68">
        <f t="shared" si="8"/>
        <v>-8.5877862595431023E-4</v>
      </c>
    </row>
    <row r="51" spans="2:19" x14ac:dyDescent="0.25">
      <c r="B51" s="22" t="s">
        <v>33</v>
      </c>
      <c r="C51" s="22"/>
      <c r="D51" s="23" t="s">
        <v>60</v>
      </c>
      <c r="E51" s="24"/>
      <c r="F51" s="176">
        <v>0.25</v>
      </c>
      <c r="G51" s="26">
        <v>1</v>
      </c>
      <c r="H51" s="67">
        <f t="shared" si="9"/>
        <v>0.25</v>
      </c>
      <c r="I51" s="28"/>
      <c r="J51" s="176">
        <v>0.25</v>
      </c>
      <c r="K51" s="30">
        <v>1</v>
      </c>
      <c r="L51" s="67">
        <f t="shared" si="10"/>
        <v>0.25</v>
      </c>
      <c r="M51" s="28"/>
      <c r="N51" s="31">
        <f t="shared" si="2"/>
        <v>0</v>
      </c>
      <c r="O51" s="68">
        <f t="shared" si="8"/>
        <v>0</v>
      </c>
    </row>
    <row r="52" spans="2:19" x14ac:dyDescent="0.25">
      <c r="B52" s="22" t="s">
        <v>34</v>
      </c>
      <c r="C52" s="22"/>
      <c r="D52" s="23" t="s">
        <v>61</v>
      </c>
      <c r="E52" s="24"/>
      <c r="F52" s="66">
        <v>7.0000000000000001E-3</v>
      </c>
      <c r="G52" s="69">
        <f>F16</f>
        <v>150</v>
      </c>
      <c r="H52" s="67">
        <f t="shared" si="9"/>
        <v>1.05</v>
      </c>
      <c r="I52" s="28"/>
      <c r="J52" s="66">
        <v>7.0000000000000001E-3</v>
      </c>
      <c r="K52" s="70">
        <f>F16</f>
        <v>150</v>
      </c>
      <c r="L52" s="67">
        <f t="shared" si="10"/>
        <v>1.05</v>
      </c>
      <c r="M52" s="28"/>
      <c r="N52" s="31">
        <f t="shared" si="2"/>
        <v>0</v>
      </c>
      <c r="O52" s="68">
        <f t="shared" si="8"/>
        <v>0</v>
      </c>
    </row>
    <row r="53" spans="2:19" ht="15.75" thickBot="1" x14ac:dyDescent="0.3">
      <c r="B53" s="49" t="s">
        <v>73</v>
      </c>
      <c r="C53" s="22"/>
      <c r="D53" s="23" t="s">
        <v>61</v>
      </c>
      <c r="E53" s="24"/>
      <c r="F53" s="66">
        <v>8.2699999999999996E-2</v>
      </c>
      <c r="G53" s="69">
        <f>F16</f>
        <v>150</v>
      </c>
      <c r="H53" s="67">
        <f t="shared" si="9"/>
        <v>12.404999999999999</v>
      </c>
      <c r="I53" s="28"/>
      <c r="J53" s="66">
        <v>8.2699999999999996E-2</v>
      </c>
      <c r="K53" s="69">
        <f>F16</f>
        <v>150</v>
      </c>
      <c r="L53" s="67">
        <f t="shared" si="10"/>
        <v>12.404999999999999</v>
      </c>
      <c r="M53" s="28"/>
      <c r="N53" s="31">
        <f t="shared" si="2"/>
        <v>0</v>
      </c>
      <c r="O53" s="68">
        <f t="shared" si="8"/>
        <v>0</v>
      </c>
      <c r="S53" s="72"/>
    </row>
    <row r="54" spans="2:19" ht="15.75" hidden="1" thickBot="1" x14ac:dyDescent="0.3">
      <c r="B54" s="49" t="s">
        <v>36</v>
      </c>
      <c r="C54" s="22"/>
      <c r="D54" s="23"/>
      <c r="E54" s="24"/>
      <c r="F54" s="71">
        <v>0.104</v>
      </c>
      <c r="G54" s="69">
        <v>0</v>
      </c>
      <c r="H54" s="67">
        <f t="shared" si="9"/>
        <v>0</v>
      </c>
      <c r="I54" s="28"/>
      <c r="J54" s="66">
        <v>0.104</v>
      </c>
      <c r="K54" s="69">
        <v>0</v>
      </c>
      <c r="L54" s="67">
        <f t="shared" si="10"/>
        <v>0</v>
      </c>
      <c r="M54" s="28"/>
      <c r="N54" s="31">
        <f t="shared" si="2"/>
        <v>0</v>
      </c>
      <c r="O54" s="68" t="str">
        <f t="shared" si="8"/>
        <v/>
      </c>
      <c r="S54" s="72"/>
    </row>
    <row r="55" spans="2:19" ht="15.75" hidden="1" thickBot="1" x14ac:dyDescent="0.3">
      <c r="B55" s="12" t="s">
        <v>37</v>
      </c>
      <c r="C55" s="22"/>
      <c r="D55" s="23"/>
      <c r="E55" s="24"/>
      <c r="F55" s="71">
        <v>0.124</v>
      </c>
      <c r="G55" s="69">
        <v>0</v>
      </c>
      <c r="H55" s="67">
        <f t="shared" si="9"/>
        <v>0</v>
      </c>
      <c r="I55" s="28"/>
      <c r="J55" s="66">
        <v>0.124</v>
      </c>
      <c r="K55" s="69">
        <v>0</v>
      </c>
      <c r="L55" s="67">
        <f t="shared" si="10"/>
        <v>0</v>
      </c>
      <c r="M55" s="28"/>
      <c r="N55" s="31">
        <f t="shared" si="2"/>
        <v>0</v>
      </c>
      <c r="O55" s="68" t="str">
        <f t="shared" si="8"/>
        <v/>
      </c>
      <c r="S55" s="72"/>
    </row>
    <row r="56" spans="2:19" s="73" customFormat="1" ht="15.75" hidden="1" thickBot="1" x14ac:dyDescent="0.25">
      <c r="B56" s="179" t="s">
        <v>38</v>
      </c>
      <c r="C56" s="75"/>
      <c r="D56" s="76"/>
      <c r="E56" s="77"/>
      <c r="F56" s="71">
        <v>7.4999999999999997E-2</v>
      </c>
      <c r="G56" s="78">
        <f>IF(AND($T$1=1, F16&gt;=600), 600, IF(AND($T$1=1, AND(F16&lt;600, F16&gt;=0)), F16, IF(AND($T$1=2, F16&gt;=1000), 1000, IF(AND($T$1=2, AND(F16&lt;1000, F16&gt;=0)), F16))))</f>
        <v>150</v>
      </c>
      <c r="H56" s="67">
        <f>G56*F56</f>
        <v>11.25</v>
      </c>
      <c r="I56" s="79"/>
      <c r="J56" s="66">
        <v>7.4999999999999997E-2</v>
      </c>
      <c r="K56" s="78">
        <f>G56</f>
        <v>150</v>
      </c>
      <c r="L56" s="67">
        <f>K56*J56</f>
        <v>11.25</v>
      </c>
      <c r="M56" s="79"/>
      <c r="N56" s="80">
        <f t="shared" si="2"/>
        <v>0</v>
      </c>
      <c r="O56" s="68">
        <f t="shared" si="8"/>
        <v>0</v>
      </c>
    </row>
    <row r="57" spans="2:19" s="73" customFormat="1" ht="15.75" hidden="1" thickBot="1" x14ac:dyDescent="0.25">
      <c r="B57" s="179" t="s">
        <v>39</v>
      </c>
      <c r="C57" s="75"/>
      <c r="D57" s="76"/>
      <c r="E57" s="77"/>
      <c r="F57" s="71">
        <v>8.7999999999999995E-2</v>
      </c>
      <c r="G57" s="78">
        <f>IF(AND($T$1=1, F16&gt;=600), F16-600, IF(AND($T$1=1, AND(F16&lt;600, F16&gt;=0)), 0, IF(AND($T$1=2, F16&gt;=1000), F16-1000, IF(AND($T$1=2, AND(F16&lt;1000, F16&gt;=0)), 0))))</f>
        <v>0</v>
      </c>
      <c r="H57" s="67">
        <f>G57*F57</f>
        <v>0</v>
      </c>
      <c r="I57" s="79"/>
      <c r="J57" s="66">
        <v>8.7999999999999995E-2</v>
      </c>
      <c r="K57" s="78">
        <f>G57</f>
        <v>0</v>
      </c>
      <c r="L57" s="67">
        <f>K57*J57</f>
        <v>0</v>
      </c>
      <c r="M57" s="79"/>
      <c r="N57" s="80">
        <f t="shared" si="2"/>
        <v>0</v>
      </c>
      <c r="O57" s="68" t="str">
        <f t="shared" si="8"/>
        <v/>
      </c>
    </row>
    <row r="58" spans="2:19" ht="8.25" customHeight="1" thickBot="1" x14ac:dyDescent="0.3">
      <c r="B58" s="81"/>
      <c r="C58" s="82"/>
      <c r="D58" s="83"/>
      <c r="E58" s="82"/>
      <c r="F58" s="84"/>
      <c r="G58" s="85"/>
      <c r="H58" s="86"/>
      <c r="I58" s="87"/>
      <c r="J58" s="84"/>
      <c r="K58" s="88"/>
      <c r="L58" s="86"/>
      <c r="M58" s="87"/>
      <c r="N58" s="89"/>
      <c r="O58" s="90"/>
    </row>
    <row r="59" spans="2:19" ht="15.75" hidden="1" thickBot="1" x14ac:dyDescent="0.3">
      <c r="B59" s="91" t="s">
        <v>40</v>
      </c>
      <c r="C59" s="22"/>
      <c r="D59" s="22"/>
      <c r="E59" s="22"/>
      <c r="F59" s="92"/>
      <c r="G59" s="93"/>
      <c r="H59" s="94">
        <f>SUM(H49:H55,H48)</f>
        <v>38.246639999999999</v>
      </c>
      <c r="I59" s="95"/>
      <c r="J59" s="96"/>
      <c r="K59" s="96"/>
      <c r="L59" s="94">
        <f>SUM(L49:L55,L48)</f>
        <v>35.46889802749444</v>
      </c>
      <c r="M59" s="97"/>
      <c r="N59" s="98">
        <f>L59-H59</f>
        <v>-2.7777419725055594</v>
      </c>
      <c r="O59" s="99">
        <f>IF((H59)=0,"",(N59/H59))</f>
        <v>-7.2627084954536125E-2</v>
      </c>
      <c r="S59" s="72"/>
    </row>
    <row r="60" spans="2:19" ht="15.75" hidden="1" thickBot="1" x14ac:dyDescent="0.3">
      <c r="B60" s="100" t="s">
        <v>41</v>
      </c>
      <c r="C60" s="22"/>
      <c r="D60" s="22"/>
      <c r="E60" s="22"/>
      <c r="F60" s="101">
        <v>0.13</v>
      </c>
      <c r="G60" s="102"/>
      <c r="H60" s="103">
        <f>H59*F60</f>
        <v>4.9720632</v>
      </c>
      <c r="I60" s="104"/>
      <c r="J60" s="105">
        <v>0.13</v>
      </c>
      <c r="K60" s="104"/>
      <c r="L60" s="106">
        <f>L59*J60</f>
        <v>4.6109567435742775</v>
      </c>
      <c r="M60" s="107"/>
      <c r="N60" s="108">
        <f t="shared" si="2"/>
        <v>-0.36110645642572248</v>
      </c>
      <c r="O60" s="109">
        <f t="shared" si="8"/>
        <v>-7.262708495453607E-2</v>
      </c>
      <c r="S60" s="72"/>
    </row>
    <row r="61" spans="2:19" ht="15.75" hidden="1" thickBot="1" x14ac:dyDescent="0.3">
      <c r="B61" s="110" t="s">
        <v>42</v>
      </c>
      <c r="C61" s="22"/>
      <c r="D61" s="22"/>
      <c r="E61" s="22"/>
      <c r="F61" s="111"/>
      <c r="G61" s="102"/>
      <c r="H61" s="103">
        <f>H59+H60</f>
        <v>43.2187032</v>
      </c>
      <c r="I61" s="104"/>
      <c r="J61" s="104"/>
      <c r="K61" s="104"/>
      <c r="L61" s="106">
        <f>L59+L60</f>
        <v>40.079854771068717</v>
      </c>
      <c r="M61" s="107"/>
      <c r="N61" s="108">
        <f t="shared" si="2"/>
        <v>-3.1388484289312828</v>
      </c>
      <c r="O61" s="109">
        <f t="shared" si="8"/>
        <v>-7.2627084954536139E-2</v>
      </c>
      <c r="S61" s="72"/>
    </row>
    <row r="62" spans="2:19" ht="15.75" hidden="1" customHeight="1" x14ac:dyDescent="0.3">
      <c r="B62" s="240" t="s">
        <v>43</v>
      </c>
      <c r="C62" s="240"/>
      <c r="D62" s="240"/>
      <c r="E62" s="22"/>
      <c r="F62" s="111"/>
      <c r="G62" s="102"/>
      <c r="H62" s="112">
        <f>ROUND(-H61*10%,2)</f>
        <v>-4.32</v>
      </c>
      <c r="I62" s="104"/>
      <c r="J62" s="104"/>
      <c r="K62" s="104"/>
      <c r="L62" s="113">
        <f>ROUND(-L61*10%,2)</f>
        <v>-4.01</v>
      </c>
      <c r="M62" s="107"/>
      <c r="N62" s="114">
        <f t="shared" si="2"/>
        <v>0.3100000000000005</v>
      </c>
      <c r="O62" s="115">
        <f t="shared" si="8"/>
        <v>-7.175925925925937E-2</v>
      </c>
    </row>
    <row r="63" spans="2:19" ht="15.75" hidden="1" thickBot="1" x14ac:dyDescent="0.3">
      <c r="B63" s="246" t="s">
        <v>44</v>
      </c>
      <c r="C63" s="246"/>
      <c r="D63" s="246"/>
      <c r="E63" s="116"/>
      <c r="F63" s="117"/>
      <c r="G63" s="118"/>
      <c r="H63" s="119">
        <f>H61+H62</f>
        <v>38.8987032</v>
      </c>
      <c r="I63" s="120"/>
      <c r="J63" s="120"/>
      <c r="K63" s="120"/>
      <c r="L63" s="121">
        <f>L61+L62</f>
        <v>36.069854771068719</v>
      </c>
      <c r="M63" s="122"/>
      <c r="N63" s="123">
        <f t="shared" si="2"/>
        <v>-2.8288484289312805</v>
      </c>
      <c r="O63" s="124">
        <f t="shared" si="8"/>
        <v>-7.2723463668868032E-2</v>
      </c>
    </row>
    <row r="64" spans="2:19" s="73" customFormat="1" ht="8.25" hidden="1" customHeight="1" x14ac:dyDescent="0.25">
      <c r="B64" s="125"/>
      <c r="C64" s="126"/>
      <c r="D64" s="127"/>
      <c r="E64" s="126"/>
      <c r="F64" s="84"/>
      <c r="G64" s="128"/>
      <c r="H64" s="86"/>
      <c r="I64" s="129"/>
      <c r="J64" s="84"/>
      <c r="K64" s="130"/>
      <c r="L64" s="86"/>
      <c r="M64" s="129"/>
      <c r="N64" s="131"/>
      <c r="O64" s="90"/>
    </row>
    <row r="65" spans="1:15" s="73" customFormat="1" ht="12.75" x14ac:dyDescent="0.2">
      <c r="B65" s="132" t="s">
        <v>45</v>
      </c>
      <c r="C65" s="75"/>
      <c r="D65" s="75"/>
      <c r="E65" s="75"/>
      <c r="F65" s="133"/>
      <c r="G65" s="134"/>
      <c r="H65" s="135">
        <f>SUM(H53,H48,H49:H52)</f>
        <v>38.246639999999999</v>
      </c>
      <c r="I65" s="136"/>
      <c r="J65" s="137"/>
      <c r="K65" s="137"/>
      <c r="L65" s="188">
        <f>SUM(L53,L48,L49:L52)</f>
        <v>35.468898027494433</v>
      </c>
      <c r="M65" s="138"/>
      <c r="N65" s="139">
        <f>L65-H65</f>
        <v>-2.7777419725055665</v>
      </c>
      <c r="O65" s="99">
        <f>IF((H65)=0,"",(N65/H65))</f>
        <v>-7.2627084954536306E-2</v>
      </c>
    </row>
    <row r="66" spans="1:15" s="73" customFormat="1" ht="12.75" x14ac:dyDescent="0.2">
      <c r="B66" s="140" t="s">
        <v>41</v>
      </c>
      <c r="C66" s="75"/>
      <c r="D66" s="75"/>
      <c r="E66" s="75"/>
      <c r="F66" s="141">
        <v>0.13</v>
      </c>
      <c r="G66" s="134"/>
      <c r="H66" s="142">
        <f>H65*F66</f>
        <v>4.9720632</v>
      </c>
      <c r="I66" s="143"/>
      <c r="J66" s="144">
        <v>0.13</v>
      </c>
      <c r="K66" s="145"/>
      <c r="L66" s="146">
        <f>L65*J66</f>
        <v>4.6109567435742767</v>
      </c>
      <c r="M66" s="147"/>
      <c r="N66" s="148">
        <f>L66-H66</f>
        <v>-0.36110645642572337</v>
      </c>
      <c r="O66" s="109">
        <f>IF((H66)=0,"",(N66/H66))</f>
        <v>-7.262708495453625E-2</v>
      </c>
    </row>
    <row r="67" spans="1:15" s="73" customFormat="1" ht="12.75" x14ac:dyDescent="0.2">
      <c r="B67" s="149" t="s">
        <v>42</v>
      </c>
      <c r="C67" s="75"/>
      <c r="D67" s="75"/>
      <c r="E67" s="75"/>
      <c r="F67" s="150"/>
      <c r="G67" s="151"/>
      <c r="H67" s="142">
        <f>H65+H66</f>
        <v>43.2187032</v>
      </c>
      <c r="I67" s="143"/>
      <c r="J67" s="143"/>
      <c r="K67" s="143"/>
      <c r="L67" s="146">
        <f>L65+L66</f>
        <v>40.07985477106871</v>
      </c>
      <c r="M67" s="147"/>
      <c r="N67" s="148">
        <f>L67-H67</f>
        <v>-3.1388484289312899</v>
      </c>
      <c r="O67" s="109">
        <f>IF((H67)=0,"",(N67/H67))</f>
        <v>-7.2627084954536306E-2</v>
      </c>
    </row>
    <row r="68" spans="1:15" s="73" customFormat="1" ht="15.75" customHeight="1" x14ac:dyDescent="0.2">
      <c r="B68" s="241" t="s">
        <v>43</v>
      </c>
      <c r="C68" s="241"/>
      <c r="D68" s="241"/>
      <c r="E68" s="75"/>
      <c r="F68" s="150"/>
      <c r="G68" s="151"/>
      <c r="H68" s="152">
        <f>ROUND(-H67*10%,2)</f>
        <v>-4.32</v>
      </c>
      <c r="I68" s="143"/>
      <c r="J68" s="143"/>
      <c r="K68" s="143"/>
      <c r="L68" s="153">
        <f>ROUND(-L67*10%,2)</f>
        <v>-4.01</v>
      </c>
      <c r="M68" s="147"/>
      <c r="N68" s="154">
        <f>L68-H68</f>
        <v>0.3100000000000005</v>
      </c>
      <c r="O68" s="115">
        <f>IF((H68)=0,"",(N68/H68))</f>
        <v>-7.175925925925937E-2</v>
      </c>
    </row>
    <row r="69" spans="1:15" s="73" customFormat="1" ht="13.5" thickBot="1" x14ac:dyDescent="0.25">
      <c r="B69" s="233" t="s">
        <v>46</v>
      </c>
      <c r="C69" s="233"/>
      <c r="D69" s="233"/>
      <c r="E69" s="155"/>
      <c r="F69" s="156"/>
      <c r="G69" s="157"/>
      <c r="H69" s="158">
        <f>SUM(H67:H68)</f>
        <v>38.8987032</v>
      </c>
      <c r="I69" s="159"/>
      <c r="J69" s="159"/>
      <c r="K69" s="159"/>
      <c r="L69" s="160">
        <f>SUM(L67:L68)</f>
        <v>36.069854771068712</v>
      </c>
      <c r="M69" s="161"/>
      <c r="N69" s="162">
        <f>L69-H69</f>
        <v>-2.8288484289312876</v>
      </c>
      <c r="O69" s="163">
        <f>IF((H69)=0,"",(N69/H69))</f>
        <v>-7.2723463668868213E-2</v>
      </c>
    </row>
    <row r="70" spans="1:15" s="73" customFormat="1" ht="8.25" customHeight="1" thickBot="1" x14ac:dyDescent="0.25">
      <c r="B70" s="125"/>
      <c r="C70" s="126"/>
      <c r="D70" s="127"/>
      <c r="E70" s="126"/>
      <c r="F70" s="164"/>
      <c r="G70" s="165"/>
      <c r="H70" s="166"/>
      <c r="I70" s="167"/>
      <c r="J70" s="164"/>
      <c r="K70" s="128"/>
      <c r="L70" s="168"/>
      <c r="M70" s="129"/>
      <c r="N70" s="169"/>
      <c r="O70" s="90"/>
    </row>
    <row r="71" spans="1:15" ht="10.5" customHeight="1" x14ac:dyDescent="0.25">
      <c r="L71" s="72"/>
    </row>
    <row r="72" spans="1:15" x14ac:dyDescent="0.25">
      <c r="B72" s="13" t="s">
        <v>47</v>
      </c>
      <c r="F72" s="170">
        <v>4.8000000000000001E-2</v>
      </c>
      <c r="J72" s="170">
        <f>'Res (100kWh)'!$J$74</f>
        <v>4.7100000000000003E-2</v>
      </c>
    </row>
    <row r="73" spans="1:15" ht="10.5" customHeight="1" x14ac:dyDescent="0.25"/>
    <row r="74" spans="1:15" x14ac:dyDescent="0.25">
      <c r="A74" s="171" t="s">
        <v>48</v>
      </c>
    </row>
    <row r="75" spans="1:15" ht="10.5" customHeight="1" x14ac:dyDescent="0.25"/>
    <row r="76" spans="1:15" x14ac:dyDescent="0.25">
      <c r="A76" s="7" t="s">
        <v>49</v>
      </c>
    </row>
    <row r="77" spans="1:15" x14ac:dyDescent="0.25">
      <c r="A77" s="7" t="s">
        <v>50</v>
      </c>
    </row>
    <row r="79" spans="1:15" x14ac:dyDescent="0.25">
      <c r="A79" s="12" t="s">
        <v>51</v>
      </c>
    </row>
    <row r="80" spans="1:15" x14ac:dyDescent="0.25">
      <c r="A80" s="12" t="s">
        <v>52</v>
      </c>
    </row>
    <row r="82" spans="1:2" x14ac:dyDescent="0.25">
      <c r="A82" s="7" t="s">
        <v>53</v>
      </c>
    </row>
    <row r="83" spans="1:2" x14ac:dyDescent="0.25">
      <c r="A83" s="7" t="s">
        <v>54</v>
      </c>
    </row>
    <row r="84" spans="1:2" x14ac:dyDescent="0.25">
      <c r="A84" s="7" t="s">
        <v>55</v>
      </c>
    </row>
    <row r="85" spans="1:2" x14ac:dyDescent="0.25">
      <c r="A85" s="7" t="s">
        <v>56</v>
      </c>
    </row>
    <row r="86" spans="1:2" x14ac:dyDescent="0.25">
      <c r="A86" s="7" t="s">
        <v>57</v>
      </c>
    </row>
    <row r="88" spans="1:2" x14ac:dyDescent="0.25">
      <c r="A88" s="172"/>
      <c r="B88" s="7" t="s">
        <v>58</v>
      </c>
    </row>
  </sheetData>
  <mergeCells count="17">
    <mergeCell ref="B62:D62"/>
    <mergeCell ref="B63:D63"/>
    <mergeCell ref="B68:D68"/>
    <mergeCell ref="B69:D69"/>
    <mergeCell ref="D12:O12"/>
    <mergeCell ref="F18:H18"/>
    <mergeCell ref="J18:L18"/>
    <mergeCell ref="N18:O18"/>
    <mergeCell ref="D19:D20"/>
    <mergeCell ref="N19:N20"/>
    <mergeCell ref="O19:O20"/>
    <mergeCell ref="B9:O9"/>
    <mergeCell ref="N1:O1"/>
    <mergeCell ref="N2:O2"/>
    <mergeCell ref="N3:O3"/>
    <mergeCell ref="N5:O5"/>
    <mergeCell ref="B8:O8"/>
  </mergeCells>
  <dataValidations count="3">
    <dataValidation type="list" allowBlank="1" showInputMessage="1" showErrorMessage="1" sqref="E46:E47 E38:E44 E21:E36 E49:E58 E70 E64">
      <formula1>#REF!</formula1>
    </dataValidation>
    <dataValidation type="list" allowBlank="1" showInputMessage="1" showErrorMessage="1" prompt="Select Charge Unit - monthly, per kWh, per kW" sqref="D46:D47 D38:D44 D64 D21:D36 D70 D49:D58">
      <formula1>"Monthly, per kWh, per kW"</formula1>
    </dataValidation>
    <dataValidation type="list" allowBlank="1" showInputMessage="1" showErrorMessage="1" sqref="D14">
      <formula1>"TOU, non-TOU"</formula1>
    </dataValidation>
  </dataValidations>
  <pageMargins left="0.7" right="0.7" top="0.75" bottom="0.75" header="0.3" footer="0.3"/>
  <pageSetup scale="56" fitToHeight="0" orientation="portrait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0">
    <tabColor theme="0" tint="-0.14999847407452621"/>
    <pageSetUpPr fitToPage="1"/>
  </sheetPr>
  <dimension ref="A1:T88"/>
  <sheetViews>
    <sheetView showGridLines="0" workbookViewId="0">
      <selection activeCell="L1" sqref="L1:O5"/>
    </sheetView>
  </sheetViews>
  <sheetFormatPr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9" style="7" bestFit="1" customWidth="1"/>
    <col min="8" max="8" width="14.28515625" style="7" bestFit="1" customWidth="1"/>
    <col min="9" max="9" width="2.85546875" style="7" customWidth="1"/>
    <col min="10" max="10" width="12.140625" style="7" customWidth="1"/>
    <col min="11" max="11" width="9" style="7" bestFit="1" customWidth="1"/>
    <col min="12" max="12" width="14.28515625" style="7" bestFit="1" customWidth="1"/>
    <col min="13" max="13" width="2.85546875" style="7" customWidth="1"/>
    <col min="14" max="14" width="12.7109375" style="7" bestFit="1" customWidth="1"/>
    <col min="15" max="15" width="10.85546875" style="7" bestFit="1" customWidth="1"/>
    <col min="16" max="16" width="3.8554687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248" t="str">
        <f>'Res (100kWh)'!$N$1:$O$1</f>
        <v>EB-2014-0099</v>
      </c>
      <c r="O1" s="248"/>
      <c r="P1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94</v>
      </c>
      <c r="N2" s="249">
        <f>'Res (100kWh)'!$N$2:$O$2</f>
        <v>8</v>
      </c>
      <c r="O2" s="249"/>
      <c r="P2"/>
    </row>
    <row r="3" spans="1:20" s="2" customFormat="1" ht="15" customHeight="1" x14ac:dyDescent="0.25">
      <c r="C3" s="6"/>
      <c r="D3" s="6"/>
      <c r="E3" s="6"/>
      <c r="L3" s="3" t="s">
        <v>95</v>
      </c>
      <c r="N3" s="248" t="str">
        <f>'Res (100kWh)'!$N$3:$O$3</f>
        <v>8-B</v>
      </c>
      <c r="O3" s="248"/>
      <c r="P3"/>
    </row>
    <row r="4" spans="1:20" s="2" customFormat="1" ht="9" customHeight="1" x14ac:dyDescent="0.25">
      <c r="L4" s="3"/>
      <c r="N4" s="232"/>
      <c r="O4"/>
      <c r="P4"/>
    </row>
    <row r="5" spans="1:20" s="2" customFormat="1" x14ac:dyDescent="0.25">
      <c r="L5" s="3" t="s">
        <v>75</v>
      </c>
      <c r="N5" s="248">
        <f>'Res (100kWh)'!$N$5:$O$5</f>
        <v>42118</v>
      </c>
      <c r="O5" s="248"/>
      <c r="P5"/>
    </row>
    <row r="6" spans="1:20" s="2" customFormat="1" ht="15" customHeight="1" x14ac:dyDescent="0.25">
      <c r="N6" s="7"/>
      <c r="O6"/>
      <c r="P6"/>
    </row>
    <row r="7" spans="1:20" ht="7.5" customHeight="1" x14ac:dyDescent="0.25">
      <c r="L7"/>
      <c r="M7"/>
      <c r="N7"/>
      <c r="O7"/>
      <c r="P7"/>
    </row>
    <row r="8" spans="1:20" ht="18.75" customHeight="1" x14ac:dyDescent="0.25">
      <c r="B8" s="247" t="s">
        <v>1</v>
      </c>
      <c r="C8" s="247"/>
      <c r="D8" s="247"/>
      <c r="E8" s="247"/>
      <c r="F8" s="247"/>
      <c r="G8" s="247"/>
      <c r="H8" s="247"/>
      <c r="I8" s="247"/>
      <c r="J8" s="247"/>
      <c r="K8" s="247"/>
      <c r="L8" s="247"/>
      <c r="M8" s="247"/>
      <c r="N8" s="247"/>
      <c r="O8" s="247"/>
      <c r="P8"/>
    </row>
    <row r="9" spans="1:20" ht="18.75" customHeight="1" x14ac:dyDescent="0.25">
      <c r="B9" s="247" t="s">
        <v>2</v>
      </c>
      <c r="C9" s="247"/>
      <c r="D9" s="247"/>
      <c r="E9" s="247"/>
      <c r="F9" s="247"/>
      <c r="G9" s="247"/>
      <c r="H9" s="247"/>
      <c r="I9" s="247"/>
      <c r="J9" s="247"/>
      <c r="K9" s="247"/>
      <c r="L9" s="247"/>
      <c r="M9" s="247"/>
      <c r="N9" s="247"/>
      <c r="O9" s="247"/>
      <c r="P9"/>
    </row>
    <row r="10" spans="1:20" ht="7.5" customHeight="1" x14ac:dyDescent="0.25">
      <c r="L10"/>
      <c r="M10"/>
      <c r="N10"/>
      <c r="O10"/>
      <c r="P10"/>
    </row>
    <row r="11" spans="1:20" ht="7.5" customHeight="1" x14ac:dyDescent="0.25">
      <c r="L11"/>
      <c r="M11"/>
      <c r="N11"/>
      <c r="O11"/>
      <c r="P11"/>
    </row>
    <row r="12" spans="1:20" ht="15.75" x14ac:dyDescent="0.25">
      <c r="B12" s="8" t="s">
        <v>3</v>
      </c>
      <c r="D12" s="242" t="s">
        <v>72</v>
      </c>
      <c r="E12" s="242"/>
      <c r="F12" s="242"/>
      <c r="G12" s="242"/>
      <c r="H12" s="242"/>
      <c r="I12" s="242"/>
      <c r="J12" s="242"/>
      <c r="K12" s="242"/>
      <c r="L12" s="242"/>
      <c r="M12" s="242"/>
      <c r="N12" s="242"/>
      <c r="O12" s="242"/>
    </row>
    <row r="13" spans="1:20" ht="7.5" customHeight="1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68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x14ac:dyDescent="0.25">
      <c r="B16" s="12"/>
      <c r="D16" s="13" t="s">
        <v>6</v>
      </c>
      <c r="E16" s="13"/>
      <c r="F16" s="14">
        <v>150</v>
      </c>
      <c r="G16" s="13" t="s">
        <v>7</v>
      </c>
      <c r="H16" s="14"/>
      <c r="I16" s="13"/>
    </row>
    <row r="17" spans="2:15" x14ac:dyDescent="0.25">
      <c r="B17" s="12"/>
    </row>
    <row r="18" spans="2:15" x14ac:dyDescent="0.25">
      <c r="B18" s="12"/>
      <c r="D18" s="15"/>
      <c r="E18" s="15"/>
      <c r="F18" s="243" t="s">
        <v>8</v>
      </c>
      <c r="G18" s="244"/>
      <c r="H18" s="245"/>
      <c r="J18" s="243" t="s">
        <v>9</v>
      </c>
      <c r="K18" s="244"/>
      <c r="L18" s="245"/>
      <c r="N18" s="243" t="s">
        <v>10</v>
      </c>
      <c r="O18" s="245"/>
    </row>
    <row r="19" spans="2:15" x14ac:dyDescent="0.25">
      <c r="B19" s="12"/>
      <c r="D19" s="234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236" t="s">
        <v>15</v>
      </c>
      <c r="O19" s="238" t="s">
        <v>16</v>
      </c>
    </row>
    <row r="20" spans="2:15" x14ac:dyDescent="0.25">
      <c r="B20" s="12"/>
      <c r="D20" s="235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237"/>
      <c r="O20" s="239"/>
    </row>
    <row r="21" spans="2:15" ht="22.5" customHeight="1" x14ac:dyDescent="0.25">
      <c r="B21" s="22" t="s">
        <v>18</v>
      </c>
      <c r="C21" s="22"/>
      <c r="D21" s="23" t="s">
        <v>60</v>
      </c>
      <c r="E21" s="24"/>
      <c r="F21" s="174">
        <f>'[2]2014 Existing Rates'!$B$12</f>
        <v>7.03</v>
      </c>
      <c r="G21" s="26">
        <v>1</v>
      </c>
      <c r="H21" s="27">
        <f>G21*F21</f>
        <v>7.03</v>
      </c>
      <c r="I21" s="28"/>
      <c r="J21" s="173">
        <f>'[2]Rate Schedule '!$E$47</f>
        <v>5.5948000000000002</v>
      </c>
      <c r="K21" s="30">
        <v>1</v>
      </c>
      <c r="L21" s="27">
        <f>K21*J21</f>
        <v>5.5948000000000002</v>
      </c>
      <c r="M21" s="28"/>
      <c r="N21" s="31">
        <f>L21-H21</f>
        <v>-1.4352</v>
      </c>
      <c r="O21" s="32">
        <f>IF((H21)=0,"",(N21/H21))</f>
        <v>-0.20415362731152203</v>
      </c>
    </row>
    <row r="22" spans="2:15" ht="36.75" customHeight="1" x14ac:dyDescent="0.25">
      <c r="B22" s="65" t="s">
        <v>62</v>
      </c>
      <c r="C22" s="22"/>
      <c r="D22" s="56" t="s">
        <v>60</v>
      </c>
      <c r="E22" s="24"/>
      <c r="F22" s="173"/>
      <c r="G22" s="26">
        <v>1</v>
      </c>
      <c r="H22" s="27">
        <f t="shared" ref="H22:H36" si="0">G22*F22</f>
        <v>0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0</v>
      </c>
      <c r="O22" s="32" t="str">
        <f>IF((H22)=0,"",(N22/H22))</f>
        <v/>
      </c>
    </row>
    <row r="23" spans="2:15" hidden="1" x14ac:dyDescent="0.25">
      <c r="B23" s="175"/>
      <c r="C23" s="22"/>
      <c r="D23" s="56" t="s">
        <v>60</v>
      </c>
      <c r="E23" s="57"/>
      <c r="F23" s="173"/>
      <c r="G23" s="26">
        <v>1</v>
      </c>
      <c r="H23" s="27">
        <f t="shared" si="0"/>
        <v>0</v>
      </c>
      <c r="I23" s="28"/>
      <c r="J23" s="29"/>
      <c r="K23" s="30">
        <v>1</v>
      </c>
      <c r="L23" s="27">
        <f t="shared" ref="L23:L36" si="1">K23*J23</f>
        <v>0</v>
      </c>
      <c r="M23" s="28"/>
      <c r="N23" s="31">
        <f t="shared" ref="N23:N37" si="2">L23-H23</f>
        <v>0</v>
      </c>
      <c r="O23" s="32" t="str">
        <f t="shared" ref="O23:O37" si="3">IF((H23)=0,"",(N23/H23))</f>
        <v/>
      </c>
    </row>
    <row r="24" spans="2:15" hidden="1" x14ac:dyDescent="0.25">
      <c r="B24" s="175"/>
      <c r="C24" s="22"/>
      <c r="D24" s="56" t="s">
        <v>60</v>
      </c>
      <c r="E24" s="24"/>
      <c r="F24" s="25"/>
      <c r="G24" s="26">
        <v>1</v>
      </c>
      <c r="H24" s="27">
        <f t="shared" si="0"/>
        <v>0</v>
      </c>
      <c r="I24" s="28"/>
      <c r="J24" s="173"/>
      <c r="K24" s="30">
        <v>1</v>
      </c>
      <c r="L24" s="27">
        <f t="shared" si="1"/>
        <v>0</v>
      </c>
      <c r="M24" s="28"/>
      <c r="N24" s="31">
        <f t="shared" si="2"/>
        <v>0</v>
      </c>
      <c r="O24" s="32" t="str">
        <f t="shared" si="3"/>
        <v/>
      </c>
    </row>
    <row r="25" spans="2:15" x14ac:dyDescent="0.25">
      <c r="B25" s="46" t="s">
        <v>65</v>
      </c>
      <c r="C25" s="22"/>
      <c r="D25" s="23" t="s">
        <v>61</v>
      </c>
      <c r="E25" s="24"/>
      <c r="F25" s="25">
        <v>-2.0000000000000001E-4</v>
      </c>
      <c r="G25" s="178">
        <f>$F$16</f>
        <v>150</v>
      </c>
      <c r="H25" s="27">
        <f t="shared" si="0"/>
        <v>-3.0000000000000002E-2</v>
      </c>
      <c r="I25" s="28"/>
      <c r="J25" s="29"/>
      <c r="K25" s="178">
        <f>$F$16</f>
        <v>150</v>
      </c>
      <c r="L25" s="27">
        <f t="shared" si="1"/>
        <v>0</v>
      </c>
      <c r="M25" s="28"/>
      <c r="N25" s="31">
        <f t="shared" si="2"/>
        <v>3.0000000000000002E-2</v>
      </c>
      <c r="O25" s="32">
        <f t="shared" si="3"/>
        <v>-1</v>
      </c>
    </row>
    <row r="26" spans="2:15" x14ac:dyDescent="0.25">
      <c r="B26" s="46" t="s">
        <v>66</v>
      </c>
      <c r="C26" s="22"/>
      <c r="D26" s="23" t="s">
        <v>61</v>
      </c>
      <c r="E26" s="24"/>
      <c r="F26" s="25"/>
      <c r="G26" s="178">
        <f>$F$16</f>
        <v>150</v>
      </c>
      <c r="H26" s="27">
        <f t="shared" si="0"/>
        <v>0</v>
      </c>
      <c r="I26" s="28"/>
      <c r="J26" s="29">
        <f>'[4]6. Rate Rider Calculations'!$F$79</f>
        <v>-7.1014119500589033E-3</v>
      </c>
      <c r="K26" s="178">
        <f>$F$16</f>
        <v>150</v>
      </c>
      <c r="L26" s="27">
        <f t="shared" si="1"/>
        <v>-1.0652117925088356</v>
      </c>
      <c r="M26" s="28"/>
      <c r="N26" s="31">
        <f t="shared" si="2"/>
        <v>-1.0652117925088356</v>
      </c>
      <c r="O26" s="32" t="str">
        <f t="shared" si="3"/>
        <v/>
      </c>
    </row>
    <row r="27" spans="2:15" x14ac:dyDescent="0.25">
      <c r="B27" s="22" t="s">
        <v>19</v>
      </c>
      <c r="C27" s="22"/>
      <c r="D27" s="23" t="s">
        <v>61</v>
      </c>
      <c r="E27" s="24"/>
      <c r="F27" s="25">
        <f>'[2]2014 Existing Rates'!$E$12</f>
        <v>1.6199999999999999E-2</v>
      </c>
      <c r="G27" s="178">
        <f>$F$16</f>
        <v>150</v>
      </c>
      <c r="H27" s="27">
        <f t="shared" si="0"/>
        <v>2.4299999999999997</v>
      </c>
      <c r="I27" s="28"/>
      <c r="J27" s="29">
        <f>'[2]Rate Schedule '!$E$48</f>
        <v>1.29E-2</v>
      </c>
      <c r="K27" s="178">
        <f>$F$16</f>
        <v>150</v>
      </c>
      <c r="L27" s="27">
        <f t="shared" si="1"/>
        <v>1.9350000000000001</v>
      </c>
      <c r="M27" s="28"/>
      <c r="N27" s="31">
        <f t="shared" si="2"/>
        <v>-0.49499999999999966</v>
      </c>
      <c r="O27" s="32">
        <f t="shared" si="3"/>
        <v>-0.20370370370370358</v>
      </c>
    </row>
    <row r="28" spans="2:15" hidden="1" x14ac:dyDescent="0.25">
      <c r="B28" s="22" t="s">
        <v>20</v>
      </c>
      <c r="C28" s="22"/>
      <c r="D28" s="23"/>
      <c r="E28" s="24"/>
      <c r="F28" s="25"/>
      <c r="G28" s="26">
        <f>$F$16</f>
        <v>150</v>
      </c>
      <c r="H28" s="27">
        <f t="shared" si="0"/>
        <v>0</v>
      </c>
      <c r="I28" s="28"/>
      <c r="J28" s="29"/>
      <c r="K28" s="26">
        <f t="shared" ref="K28:K36" si="4">$F$16</f>
        <v>150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hidden="1" x14ac:dyDescent="0.25">
      <c r="B29" s="22" t="s">
        <v>21</v>
      </c>
      <c r="C29" s="22"/>
      <c r="D29" s="23"/>
      <c r="E29" s="24"/>
      <c r="F29" s="25"/>
      <c r="G29" s="26">
        <f>$F$16</f>
        <v>150</v>
      </c>
      <c r="H29" s="27">
        <f t="shared" si="0"/>
        <v>0</v>
      </c>
      <c r="I29" s="28"/>
      <c r="J29" s="29"/>
      <c r="K29" s="26">
        <f t="shared" si="4"/>
        <v>150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idden="1" x14ac:dyDescent="0.25">
      <c r="B30" s="33"/>
      <c r="C30" s="22"/>
      <c r="D30" s="23"/>
      <c r="E30" s="24"/>
      <c r="F30" s="25"/>
      <c r="G30" s="26">
        <f t="shared" ref="G30:G36" si="5">$F$16</f>
        <v>150</v>
      </c>
      <c r="H30" s="27">
        <f t="shared" si="0"/>
        <v>0</v>
      </c>
      <c r="I30" s="28"/>
      <c r="J30" s="29"/>
      <c r="K30" s="26">
        <f t="shared" si="4"/>
        <v>150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idden="1" x14ac:dyDescent="0.25">
      <c r="B31" s="33"/>
      <c r="C31" s="22"/>
      <c r="D31" s="23"/>
      <c r="E31" s="24"/>
      <c r="F31" s="25"/>
      <c r="G31" s="26">
        <f t="shared" si="5"/>
        <v>150</v>
      </c>
      <c r="H31" s="27">
        <f t="shared" si="0"/>
        <v>0</v>
      </c>
      <c r="I31" s="28"/>
      <c r="J31" s="29"/>
      <c r="K31" s="26">
        <f t="shared" si="4"/>
        <v>150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idden="1" x14ac:dyDescent="0.25">
      <c r="B32" s="33"/>
      <c r="C32" s="22"/>
      <c r="D32" s="23"/>
      <c r="E32" s="24"/>
      <c r="F32" s="25"/>
      <c r="G32" s="26">
        <f t="shared" si="5"/>
        <v>150</v>
      </c>
      <c r="H32" s="27">
        <f t="shared" si="0"/>
        <v>0</v>
      </c>
      <c r="I32" s="28"/>
      <c r="J32" s="29"/>
      <c r="K32" s="26">
        <f t="shared" si="4"/>
        <v>150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idden="1" x14ac:dyDescent="0.25">
      <c r="B33" s="33"/>
      <c r="C33" s="22"/>
      <c r="D33" s="23"/>
      <c r="E33" s="24"/>
      <c r="F33" s="25"/>
      <c r="G33" s="26">
        <f t="shared" si="5"/>
        <v>150</v>
      </c>
      <c r="H33" s="27">
        <f t="shared" si="0"/>
        <v>0</v>
      </c>
      <c r="I33" s="28"/>
      <c r="J33" s="29"/>
      <c r="K33" s="26">
        <f t="shared" si="4"/>
        <v>150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idden="1" x14ac:dyDescent="0.25">
      <c r="B34" s="33"/>
      <c r="C34" s="22"/>
      <c r="D34" s="23"/>
      <c r="E34" s="24"/>
      <c r="F34" s="25"/>
      <c r="G34" s="26">
        <f t="shared" si="5"/>
        <v>150</v>
      </c>
      <c r="H34" s="27">
        <f t="shared" si="0"/>
        <v>0</v>
      </c>
      <c r="I34" s="28"/>
      <c r="J34" s="29"/>
      <c r="K34" s="26">
        <f t="shared" si="4"/>
        <v>150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idden="1" x14ac:dyDescent="0.25">
      <c r="B35" s="33"/>
      <c r="C35" s="22"/>
      <c r="D35" s="23"/>
      <c r="E35" s="24"/>
      <c r="F35" s="25"/>
      <c r="G35" s="26">
        <f t="shared" si="5"/>
        <v>150</v>
      </c>
      <c r="H35" s="27">
        <f t="shared" si="0"/>
        <v>0</v>
      </c>
      <c r="I35" s="28"/>
      <c r="J35" s="29"/>
      <c r="K35" s="26">
        <f t="shared" si="4"/>
        <v>150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idden="1" x14ac:dyDescent="0.25">
      <c r="B36" s="33"/>
      <c r="C36" s="22"/>
      <c r="D36" s="23"/>
      <c r="E36" s="24"/>
      <c r="F36" s="25"/>
      <c r="G36" s="26">
        <f t="shared" si="5"/>
        <v>150</v>
      </c>
      <c r="H36" s="27">
        <f t="shared" si="0"/>
        <v>0</v>
      </c>
      <c r="I36" s="28"/>
      <c r="J36" s="29"/>
      <c r="K36" s="26">
        <f t="shared" si="4"/>
        <v>150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x14ac:dyDescent="0.25">
      <c r="B37" s="35" t="s">
        <v>22</v>
      </c>
      <c r="C37" s="36"/>
      <c r="D37" s="37"/>
      <c r="E37" s="36"/>
      <c r="F37" s="38"/>
      <c r="G37" s="39"/>
      <c r="H37" s="40">
        <f>SUM(H21:H36)</f>
        <v>9.43</v>
      </c>
      <c r="I37" s="41"/>
      <c r="J37" s="42"/>
      <c r="K37" s="43"/>
      <c r="L37" s="40">
        <f>SUM(L21:L36)</f>
        <v>6.4645882074911647</v>
      </c>
      <c r="M37" s="41"/>
      <c r="N37" s="44">
        <f t="shared" si="2"/>
        <v>-2.965411792508835</v>
      </c>
      <c r="O37" s="45">
        <f t="shared" si="3"/>
        <v>-0.31446572561069303</v>
      </c>
    </row>
    <row r="38" spans="2:15" x14ac:dyDescent="0.25">
      <c r="B38" s="46" t="s">
        <v>23</v>
      </c>
      <c r="C38" s="22"/>
      <c r="D38" s="56" t="s">
        <v>61</v>
      </c>
      <c r="E38" s="57"/>
      <c r="F38" s="29">
        <v>-1.8E-3</v>
      </c>
      <c r="G38" s="178">
        <f>F16</f>
        <v>150</v>
      </c>
      <c r="H38" s="27">
        <f t="shared" ref="H38:H44" si="6">G38*F38</f>
        <v>-0.27</v>
      </c>
      <c r="I38" s="28"/>
      <c r="J38" s="29">
        <f>'[4]6. Rate Rider Calculations'!$F$24</f>
        <v>-3.1063727715660515E-3</v>
      </c>
      <c r="K38" s="178">
        <f>F16</f>
        <v>150</v>
      </c>
      <c r="L38" s="27">
        <f t="shared" ref="L38:L44" si="7">K38*J38</f>
        <v>-0.46595591573490774</v>
      </c>
      <c r="M38" s="28"/>
      <c r="N38" s="31">
        <f t="shared" ref="N38:N44" si="8">L38-H38</f>
        <v>-0.19595591573490773</v>
      </c>
      <c r="O38" s="32">
        <f t="shared" ref="O38:O43" si="9">IF((H38)=0,"",(N38/H38))</f>
        <v>0.72576265087002856</v>
      </c>
    </row>
    <row r="39" spans="2:15" hidden="1" x14ac:dyDescent="0.25">
      <c r="B39" s="46"/>
      <c r="C39" s="22"/>
      <c r="D39" s="23" t="s">
        <v>61</v>
      </c>
      <c r="E39" s="24"/>
      <c r="F39" s="25"/>
      <c r="G39" s="178">
        <f>F16</f>
        <v>150</v>
      </c>
      <c r="H39" s="27">
        <f t="shared" si="6"/>
        <v>0</v>
      </c>
      <c r="I39" s="47"/>
      <c r="J39" s="29"/>
      <c r="K39" s="178">
        <f>F16</f>
        <v>150</v>
      </c>
      <c r="L39" s="27">
        <f t="shared" si="7"/>
        <v>0</v>
      </c>
      <c r="M39" s="48"/>
      <c r="N39" s="31">
        <f t="shared" si="8"/>
        <v>0</v>
      </c>
      <c r="O39" s="32" t="str">
        <f t="shared" si="9"/>
        <v/>
      </c>
    </row>
    <row r="40" spans="2:15" hidden="1" x14ac:dyDescent="0.25">
      <c r="B40" s="46"/>
      <c r="C40" s="22"/>
      <c r="D40" s="23" t="s">
        <v>61</v>
      </c>
      <c r="E40" s="24"/>
      <c r="F40" s="25"/>
      <c r="G40" s="178">
        <f>F16</f>
        <v>150</v>
      </c>
      <c r="H40" s="27">
        <f t="shared" si="6"/>
        <v>0</v>
      </c>
      <c r="I40" s="47"/>
      <c r="J40" s="29"/>
      <c r="K40" s="178">
        <f>F16</f>
        <v>150</v>
      </c>
      <c r="L40" s="27">
        <f t="shared" si="7"/>
        <v>0</v>
      </c>
      <c r="M40" s="48"/>
      <c r="N40" s="31">
        <f t="shared" si="8"/>
        <v>0</v>
      </c>
      <c r="O40" s="32" t="str">
        <f t="shared" si="9"/>
        <v/>
      </c>
    </row>
    <row r="41" spans="2:15" ht="27.75" customHeight="1" x14ac:dyDescent="0.25">
      <c r="B41" s="46" t="s">
        <v>74</v>
      </c>
      <c r="C41" s="22"/>
      <c r="D41" s="23" t="s">
        <v>61</v>
      </c>
      <c r="E41" s="24"/>
      <c r="F41" s="29"/>
      <c r="G41" s="26">
        <f>$F$16</f>
        <v>150</v>
      </c>
      <c r="H41" s="27">
        <f t="shared" si="6"/>
        <v>0</v>
      </c>
      <c r="I41" s="47"/>
      <c r="J41" s="29">
        <f>'[4]6. Rate Rider Calculations'!$F$51</f>
        <v>0</v>
      </c>
      <c r="K41" s="26">
        <f>$F$16</f>
        <v>150</v>
      </c>
      <c r="L41" s="27">
        <f t="shared" si="7"/>
        <v>0</v>
      </c>
      <c r="M41" s="48"/>
      <c r="N41" s="31">
        <f t="shared" si="8"/>
        <v>0</v>
      </c>
      <c r="O41" s="32" t="str">
        <f t="shared" si="9"/>
        <v/>
      </c>
    </row>
    <row r="42" spans="2:15" x14ac:dyDescent="0.25">
      <c r="B42" s="49" t="s">
        <v>24</v>
      </c>
      <c r="C42" s="22"/>
      <c r="D42" s="23" t="s">
        <v>61</v>
      </c>
      <c r="E42" s="24"/>
      <c r="F42" s="195">
        <v>4.0000000000000003E-5</v>
      </c>
      <c r="G42" s="178">
        <f>F16</f>
        <v>150</v>
      </c>
      <c r="H42" s="27">
        <f t="shared" si="6"/>
        <v>6.0000000000000001E-3</v>
      </c>
      <c r="I42" s="28"/>
      <c r="J42" s="196">
        <f>'[2]Rate Schedule '!$E$49</f>
        <v>6.9999999999999994E-5</v>
      </c>
      <c r="K42" s="178">
        <f>F16</f>
        <v>150</v>
      </c>
      <c r="L42" s="27">
        <f t="shared" si="7"/>
        <v>1.0499999999999999E-2</v>
      </c>
      <c r="M42" s="28"/>
      <c r="N42" s="31">
        <f t="shared" si="8"/>
        <v>4.4999999999999988E-3</v>
      </c>
      <c r="O42" s="32">
        <f t="shared" si="9"/>
        <v>0.74999999999999978</v>
      </c>
    </row>
    <row r="43" spans="2:15" s="34" customFormat="1" x14ac:dyDescent="0.25">
      <c r="B43" s="180" t="s">
        <v>25</v>
      </c>
      <c r="C43" s="24"/>
      <c r="D43" s="181" t="s">
        <v>61</v>
      </c>
      <c r="E43" s="24"/>
      <c r="F43" s="182">
        <f>IF(ISBLANK(D14)=TRUE, 0, IF(D14="TOU", 0.64*$F$53+0.18*$F$54+0.18*$F$55, IF(AND(D14="non-TOU", G57&gt;0), F57,F56)))</f>
        <v>7.4999999999999997E-2</v>
      </c>
      <c r="G43" s="26">
        <f>$F$16*(1+$F$72)-$F$16</f>
        <v>7.2000000000000171</v>
      </c>
      <c r="H43" s="183">
        <f t="shared" si="6"/>
        <v>0.54000000000000126</v>
      </c>
      <c r="I43" s="57"/>
      <c r="J43" s="184">
        <f>IF(ISBLANK(D14)=TRUE, 0, IF(D14="TOU", 0.64*$F$53+0.18*$F$54+0.18*$F$55, IF(AND(D14="non-TOU", K57&gt;0), J57,J56)))</f>
        <v>7.4999999999999997E-2</v>
      </c>
      <c r="K43" s="26">
        <f>$F$16*(1+$J$72)-$F$16</f>
        <v>7.0649999999999977</v>
      </c>
      <c r="L43" s="183">
        <f t="shared" si="7"/>
        <v>0.52987499999999976</v>
      </c>
      <c r="M43" s="57"/>
      <c r="N43" s="185">
        <f t="shared" si="8"/>
        <v>-1.0125000000001494E-2</v>
      </c>
      <c r="O43" s="186">
        <f t="shared" si="9"/>
        <v>-1.8750000000002723E-2</v>
      </c>
    </row>
    <row r="44" spans="2:15" x14ac:dyDescent="0.25">
      <c r="B44" s="49" t="s">
        <v>26</v>
      </c>
      <c r="C44" s="22"/>
      <c r="D44" s="23" t="s">
        <v>60</v>
      </c>
      <c r="E44" s="24"/>
      <c r="F44" s="177"/>
      <c r="G44" s="26">
        <v>0</v>
      </c>
      <c r="H44" s="27">
        <f t="shared" si="6"/>
        <v>0</v>
      </c>
      <c r="I44" s="28"/>
      <c r="J44" s="177"/>
      <c r="K44" s="26">
        <v>0</v>
      </c>
      <c r="L44" s="27">
        <f t="shared" si="7"/>
        <v>0</v>
      </c>
      <c r="M44" s="28"/>
      <c r="N44" s="31">
        <f t="shared" si="8"/>
        <v>0</v>
      </c>
      <c r="O44" s="32"/>
    </row>
    <row r="45" spans="2:15" ht="25.5" x14ac:dyDescent="0.25">
      <c r="B45" s="50" t="s">
        <v>27</v>
      </c>
      <c r="C45" s="51"/>
      <c r="D45" s="51"/>
      <c r="E45" s="51"/>
      <c r="F45" s="52"/>
      <c r="G45" s="53"/>
      <c r="H45" s="54">
        <f>SUM(H38:H44)+H37</f>
        <v>9.7060000000000013</v>
      </c>
      <c r="I45" s="41"/>
      <c r="J45" s="53"/>
      <c r="K45" s="55"/>
      <c r="L45" s="54">
        <f>SUM(L38:L44)+L37</f>
        <v>6.5390072917562563</v>
      </c>
      <c r="M45" s="41"/>
      <c r="N45" s="44">
        <f t="shared" ref="N45:N63" si="10">L45-H45</f>
        <v>-3.166992708243745</v>
      </c>
      <c r="O45" s="45">
        <f t="shared" ref="O45:O63" si="11">IF((H45)=0,"",(N45/H45))</f>
        <v>-0.32629226336737527</v>
      </c>
    </row>
    <row r="46" spans="2:15" x14ac:dyDescent="0.25">
      <c r="B46" s="28" t="s">
        <v>28</v>
      </c>
      <c r="C46" s="28"/>
      <c r="D46" s="56" t="s">
        <v>61</v>
      </c>
      <c r="E46" s="57"/>
      <c r="F46" s="29">
        <v>6.8999999999999999E-3</v>
      </c>
      <c r="G46" s="58">
        <f>F16*(1+F72)</f>
        <v>157.20000000000002</v>
      </c>
      <c r="H46" s="27">
        <f>G46*F46</f>
        <v>1.0846800000000001</v>
      </c>
      <c r="I46" s="28"/>
      <c r="J46" s="29">
        <f>'[5]13. Final 2015 RTS Rates'!$F$30</f>
        <v>7.0871105522439639E-3</v>
      </c>
      <c r="K46" s="59">
        <f>F16*(1+J72)</f>
        <v>157.065</v>
      </c>
      <c r="L46" s="27">
        <f>K46*J46</f>
        <v>1.1131370188881982</v>
      </c>
      <c r="M46" s="28"/>
      <c r="N46" s="31">
        <f t="shared" si="10"/>
        <v>2.8457018888198071E-2</v>
      </c>
      <c r="O46" s="32">
        <f t="shared" si="11"/>
        <v>2.6235404808974138E-2</v>
      </c>
    </row>
    <row r="47" spans="2:15" x14ac:dyDescent="0.25">
      <c r="B47" s="60" t="s">
        <v>29</v>
      </c>
      <c r="C47" s="28"/>
      <c r="D47" s="56" t="s">
        <v>61</v>
      </c>
      <c r="E47" s="57"/>
      <c r="F47" s="29">
        <v>5.1999999999999998E-3</v>
      </c>
      <c r="G47" s="58">
        <f>G46</f>
        <v>157.20000000000002</v>
      </c>
      <c r="H47" s="27">
        <f>G47*F47</f>
        <v>0.81744000000000006</v>
      </c>
      <c r="I47" s="28"/>
      <c r="J47" s="29">
        <f>'[5]13. Final 2015 RTS Rates'!$H$30</f>
        <v>5.3052532652731205E-3</v>
      </c>
      <c r="K47" s="59">
        <f>K46</f>
        <v>157.065</v>
      </c>
      <c r="L47" s="27">
        <f>K47*J47</f>
        <v>0.83326960411012263</v>
      </c>
      <c r="M47" s="28"/>
      <c r="N47" s="31">
        <f t="shared" si="10"/>
        <v>1.5829604110122575E-2</v>
      </c>
      <c r="O47" s="32">
        <f t="shared" si="11"/>
        <v>1.9364851377621079E-2</v>
      </c>
    </row>
    <row r="48" spans="2:15" x14ac:dyDescent="0.25">
      <c r="B48" s="50" t="s">
        <v>30</v>
      </c>
      <c r="C48" s="36"/>
      <c r="D48" s="36"/>
      <c r="E48" s="36"/>
      <c r="F48" s="61"/>
      <c r="G48" s="53"/>
      <c r="H48" s="54">
        <f>SUM(H45:H47)</f>
        <v>11.608120000000001</v>
      </c>
      <c r="I48" s="62"/>
      <c r="J48" s="63"/>
      <c r="K48" s="64"/>
      <c r="L48" s="54">
        <f>SUM(L45:L47)</f>
        <v>8.4854139147545773</v>
      </c>
      <c r="M48" s="62"/>
      <c r="N48" s="44">
        <f t="shared" si="10"/>
        <v>-3.122706085245424</v>
      </c>
      <c r="O48" s="45">
        <f t="shared" si="11"/>
        <v>-0.2690104931070168</v>
      </c>
    </row>
    <row r="49" spans="2:19" x14ac:dyDescent="0.25">
      <c r="B49" s="65" t="s">
        <v>31</v>
      </c>
      <c r="C49" s="22"/>
      <c r="D49" s="23" t="s">
        <v>61</v>
      </c>
      <c r="E49" s="24"/>
      <c r="F49" s="66">
        <v>4.4000000000000003E-3</v>
      </c>
      <c r="G49" s="58">
        <f>F16*(1+F72)</f>
        <v>157.20000000000002</v>
      </c>
      <c r="H49" s="67">
        <f t="shared" ref="H49:H55" si="12">G49*F49</f>
        <v>0.69168000000000007</v>
      </c>
      <c r="I49" s="28"/>
      <c r="J49" s="66">
        <v>4.4000000000000003E-3</v>
      </c>
      <c r="K49" s="59">
        <f>F16*(1+J72)</f>
        <v>157.065</v>
      </c>
      <c r="L49" s="67">
        <f t="shared" ref="L49:L55" si="13">K49*J49</f>
        <v>0.69108599999999998</v>
      </c>
      <c r="M49" s="28"/>
      <c r="N49" s="31">
        <f t="shared" si="10"/>
        <v>-5.9400000000009445E-4</v>
      </c>
      <c r="O49" s="68">
        <f t="shared" si="11"/>
        <v>-8.5877862595433495E-4</v>
      </c>
    </row>
    <row r="50" spans="2:19" x14ac:dyDescent="0.25">
      <c r="B50" s="65" t="s">
        <v>32</v>
      </c>
      <c r="C50" s="22"/>
      <c r="D50" s="23" t="s">
        <v>61</v>
      </c>
      <c r="E50" s="24"/>
      <c r="F50" s="66">
        <v>1.2999999999999999E-3</v>
      </c>
      <c r="G50" s="58">
        <f>G49</f>
        <v>157.20000000000002</v>
      </c>
      <c r="H50" s="67">
        <f t="shared" si="12"/>
        <v>0.20436000000000001</v>
      </c>
      <c r="I50" s="28"/>
      <c r="J50" s="66">
        <v>1.2999999999999999E-3</v>
      </c>
      <c r="K50" s="59">
        <f>K49</f>
        <v>157.065</v>
      </c>
      <c r="L50" s="67">
        <f t="shared" si="13"/>
        <v>0.20418449999999999</v>
      </c>
      <c r="M50" s="28"/>
      <c r="N50" s="31">
        <f t="shared" si="10"/>
        <v>-1.7550000000002286E-4</v>
      </c>
      <c r="O50" s="68">
        <f t="shared" si="11"/>
        <v>-8.5877862595431023E-4</v>
      </c>
    </row>
    <row r="51" spans="2:19" x14ac:dyDescent="0.25">
      <c r="B51" s="22" t="s">
        <v>33</v>
      </c>
      <c r="C51" s="22"/>
      <c r="D51" s="23" t="s">
        <v>60</v>
      </c>
      <c r="E51" s="24"/>
      <c r="F51" s="176">
        <v>0.25</v>
      </c>
      <c r="G51" s="26">
        <v>1</v>
      </c>
      <c r="H51" s="67">
        <f t="shared" si="12"/>
        <v>0.25</v>
      </c>
      <c r="I51" s="28"/>
      <c r="J51" s="176">
        <v>0.25</v>
      </c>
      <c r="K51" s="30">
        <v>1</v>
      </c>
      <c r="L51" s="67">
        <f t="shared" si="13"/>
        <v>0.25</v>
      </c>
      <c r="M51" s="28"/>
      <c r="N51" s="31">
        <f t="shared" si="10"/>
        <v>0</v>
      </c>
      <c r="O51" s="68">
        <f t="shared" si="11"/>
        <v>0</v>
      </c>
    </row>
    <row r="52" spans="2:19" x14ac:dyDescent="0.25">
      <c r="B52" s="22" t="s">
        <v>34</v>
      </c>
      <c r="C52" s="22"/>
      <c r="D52" s="23" t="s">
        <v>61</v>
      </c>
      <c r="E52" s="24"/>
      <c r="F52" s="66">
        <v>7.0000000000000001E-3</v>
      </c>
      <c r="G52" s="69">
        <f>F16</f>
        <v>150</v>
      </c>
      <c r="H52" s="67">
        <f t="shared" si="12"/>
        <v>1.05</v>
      </c>
      <c r="I52" s="28"/>
      <c r="J52" s="66">
        <v>7.0000000000000001E-3</v>
      </c>
      <c r="K52" s="70">
        <f>F16</f>
        <v>150</v>
      </c>
      <c r="L52" s="67">
        <f t="shared" si="13"/>
        <v>1.05</v>
      </c>
      <c r="M52" s="28"/>
      <c r="N52" s="31">
        <f t="shared" si="10"/>
        <v>0</v>
      </c>
      <c r="O52" s="68">
        <f t="shared" si="11"/>
        <v>0</v>
      </c>
    </row>
    <row r="53" spans="2:19" ht="15.75" thickBot="1" x14ac:dyDescent="0.3">
      <c r="B53" s="49" t="s">
        <v>73</v>
      </c>
      <c r="C53" s="22"/>
      <c r="D53" s="23" t="s">
        <v>61</v>
      </c>
      <c r="E53" s="24"/>
      <c r="F53" s="66">
        <v>8.2699999999999996E-2</v>
      </c>
      <c r="G53" s="69">
        <f>F16</f>
        <v>150</v>
      </c>
      <c r="H53" s="67">
        <f t="shared" si="12"/>
        <v>12.404999999999999</v>
      </c>
      <c r="I53" s="28"/>
      <c r="J53" s="66">
        <v>8.2699999999999996E-2</v>
      </c>
      <c r="K53" s="69">
        <f>F16</f>
        <v>150</v>
      </c>
      <c r="L53" s="67">
        <f t="shared" si="13"/>
        <v>12.404999999999999</v>
      </c>
      <c r="M53" s="28"/>
      <c r="N53" s="31">
        <f t="shared" si="10"/>
        <v>0</v>
      </c>
      <c r="O53" s="68">
        <f t="shared" si="11"/>
        <v>0</v>
      </c>
      <c r="S53" s="72"/>
    </row>
    <row r="54" spans="2:19" hidden="1" x14ac:dyDescent="0.25">
      <c r="B54" s="49" t="s">
        <v>36</v>
      </c>
      <c r="C54" s="22"/>
      <c r="D54" s="23"/>
      <c r="E54" s="24"/>
      <c r="F54" s="71">
        <v>0.104</v>
      </c>
      <c r="G54" s="58">
        <v>0</v>
      </c>
      <c r="H54" s="67">
        <f t="shared" si="12"/>
        <v>0</v>
      </c>
      <c r="I54" s="28"/>
      <c r="J54" s="66">
        <v>0.104</v>
      </c>
      <c r="K54" s="58">
        <v>0</v>
      </c>
      <c r="L54" s="67">
        <f t="shared" si="13"/>
        <v>0</v>
      </c>
      <c r="M54" s="28"/>
      <c r="N54" s="31">
        <f t="shared" si="10"/>
        <v>0</v>
      </c>
      <c r="O54" s="68" t="str">
        <f t="shared" si="11"/>
        <v/>
      </c>
      <c r="S54" s="72"/>
    </row>
    <row r="55" spans="2:19" hidden="1" x14ac:dyDescent="0.25">
      <c r="B55" s="12" t="s">
        <v>37</v>
      </c>
      <c r="C55" s="22"/>
      <c r="D55" s="23"/>
      <c r="E55" s="24"/>
      <c r="F55" s="71">
        <v>0.124</v>
      </c>
      <c r="G55" s="58">
        <v>0</v>
      </c>
      <c r="H55" s="67">
        <f t="shared" si="12"/>
        <v>0</v>
      </c>
      <c r="I55" s="28"/>
      <c r="J55" s="66">
        <v>0.124</v>
      </c>
      <c r="K55" s="58">
        <v>0</v>
      </c>
      <c r="L55" s="67">
        <f t="shared" si="13"/>
        <v>0</v>
      </c>
      <c r="M55" s="28"/>
      <c r="N55" s="31">
        <f t="shared" si="10"/>
        <v>0</v>
      </c>
      <c r="O55" s="68" t="str">
        <f t="shared" si="11"/>
        <v/>
      </c>
      <c r="S55" s="72"/>
    </row>
    <row r="56" spans="2:19" s="73" customFormat="1" hidden="1" x14ac:dyDescent="0.2">
      <c r="B56" s="179" t="s">
        <v>38</v>
      </c>
      <c r="C56" s="75"/>
      <c r="D56" s="76"/>
      <c r="E56" s="77"/>
      <c r="F56" s="71">
        <v>7.4999999999999997E-2</v>
      </c>
      <c r="G56" s="78">
        <f>IF(AND($T$1=1, F16&gt;=600), 600, IF(AND($T$1=1, AND(F16&lt;600, F16&gt;=0)), F16, IF(AND($T$1=2, F16&gt;=1000), 1000, IF(AND($T$1=2, AND(F16&lt;1000, F16&gt;=0)), F16))))</f>
        <v>150</v>
      </c>
      <c r="H56" s="67">
        <f>G56*F56</f>
        <v>11.25</v>
      </c>
      <c r="I56" s="79"/>
      <c r="J56" s="66">
        <v>7.4999999999999997E-2</v>
      </c>
      <c r="K56" s="78">
        <f>G56</f>
        <v>150</v>
      </c>
      <c r="L56" s="67">
        <f>K56*J56</f>
        <v>11.25</v>
      </c>
      <c r="M56" s="79"/>
      <c r="N56" s="80">
        <f t="shared" si="10"/>
        <v>0</v>
      </c>
      <c r="O56" s="68">
        <f t="shared" si="11"/>
        <v>0</v>
      </c>
    </row>
    <row r="57" spans="2:19" s="73" customFormat="1" ht="15.75" hidden="1" thickBot="1" x14ac:dyDescent="0.25">
      <c r="B57" s="179" t="s">
        <v>39</v>
      </c>
      <c r="C57" s="75"/>
      <c r="D57" s="76"/>
      <c r="E57" s="77"/>
      <c r="F57" s="71">
        <v>8.7999999999999995E-2</v>
      </c>
      <c r="G57" s="78">
        <f>IF(AND($T$1=1, F16&gt;=600), F16-600, IF(AND($T$1=1, AND(F16&lt;600, F16&gt;=0)), 0, IF(AND($T$1=2, F16&gt;=1000), F16-1000, IF(AND($T$1=2, AND(F16&lt;1000, F16&gt;=0)), 0))))</f>
        <v>0</v>
      </c>
      <c r="H57" s="67">
        <f>G57*F57</f>
        <v>0</v>
      </c>
      <c r="I57" s="79"/>
      <c r="J57" s="66">
        <v>8.7999999999999995E-2</v>
      </c>
      <c r="K57" s="78">
        <f>G57</f>
        <v>0</v>
      </c>
      <c r="L57" s="67">
        <f>K57*J57</f>
        <v>0</v>
      </c>
      <c r="M57" s="79"/>
      <c r="N57" s="80">
        <f t="shared" si="10"/>
        <v>0</v>
      </c>
      <c r="O57" s="68" t="str">
        <f t="shared" si="11"/>
        <v/>
      </c>
    </row>
    <row r="58" spans="2:19" ht="8.25" customHeight="1" thickBot="1" x14ac:dyDescent="0.3">
      <c r="B58" s="81"/>
      <c r="C58" s="82"/>
      <c r="D58" s="83"/>
      <c r="E58" s="82"/>
      <c r="F58" s="84"/>
      <c r="G58" s="85"/>
      <c r="H58" s="86"/>
      <c r="I58" s="87"/>
      <c r="J58" s="84"/>
      <c r="K58" s="88"/>
      <c r="L58" s="86"/>
      <c r="M58" s="87"/>
      <c r="N58" s="89"/>
      <c r="O58" s="90"/>
    </row>
    <row r="59" spans="2:19" hidden="1" x14ac:dyDescent="0.25">
      <c r="B59" s="91" t="s">
        <v>40</v>
      </c>
      <c r="C59" s="22"/>
      <c r="D59" s="22"/>
      <c r="E59" s="22"/>
      <c r="F59" s="92"/>
      <c r="G59" s="93"/>
      <c r="H59" s="94">
        <f>SUM(H49:H55,H48)</f>
        <v>26.209160000000001</v>
      </c>
      <c r="I59" s="95"/>
      <c r="J59" s="96"/>
      <c r="K59" s="96"/>
      <c r="L59" s="94">
        <f>SUM(L49:L55,L48)</f>
        <v>23.085684414754578</v>
      </c>
      <c r="M59" s="97"/>
      <c r="N59" s="98">
        <f>L59-H59</f>
        <v>-3.1234755852454228</v>
      </c>
      <c r="O59" s="99">
        <f>IF((H59)=0,"",(N59/H59))</f>
        <v>-0.11917495964179786</v>
      </c>
      <c r="S59" s="72"/>
    </row>
    <row r="60" spans="2:19" hidden="1" x14ac:dyDescent="0.25">
      <c r="B60" s="100" t="s">
        <v>41</v>
      </c>
      <c r="C60" s="22"/>
      <c r="D60" s="22"/>
      <c r="E60" s="22"/>
      <c r="F60" s="101">
        <v>0.13</v>
      </c>
      <c r="G60" s="102"/>
      <c r="H60" s="103">
        <f>H59*F60</f>
        <v>3.4071908000000004</v>
      </c>
      <c r="I60" s="104"/>
      <c r="J60" s="105">
        <v>0.13</v>
      </c>
      <c r="K60" s="104"/>
      <c r="L60" s="106">
        <f>L59*J60</f>
        <v>3.0011389739180951</v>
      </c>
      <c r="M60" s="107"/>
      <c r="N60" s="108">
        <f t="shared" si="10"/>
        <v>-0.40605182608190526</v>
      </c>
      <c r="O60" s="109">
        <f t="shared" si="11"/>
        <v>-0.11917495964179793</v>
      </c>
      <c r="S60" s="72"/>
    </row>
    <row r="61" spans="2:19" hidden="1" x14ac:dyDescent="0.25">
      <c r="B61" s="110" t="s">
        <v>42</v>
      </c>
      <c r="C61" s="22"/>
      <c r="D61" s="22"/>
      <c r="E61" s="22"/>
      <c r="F61" s="111"/>
      <c r="G61" s="102"/>
      <c r="H61" s="103">
        <f>H59+H60</f>
        <v>29.616350799999999</v>
      </c>
      <c r="I61" s="104"/>
      <c r="J61" s="104"/>
      <c r="K61" s="104"/>
      <c r="L61" s="106">
        <f>L59+L60</f>
        <v>26.086823388672673</v>
      </c>
      <c r="M61" s="107"/>
      <c r="N61" s="108">
        <f t="shared" si="10"/>
        <v>-3.5295274113273258</v>
      </c>
      <c r="O61" s="109">
        <f t="shared" si="11"/>
        <v>-0.11917495964179779</v>
      </c>
      <c r="S61" s="72"/>
    </row>
    <row r="62" spans="2:19" ht="15.75" hidden="1" customHeight="1" x14ac:dyDescent="0.25">
      <c r="B62" s="240" t="s">
        <v>43</v>
      </c>
      <c r="C62" s="240"/>
      <c r="D62" s="240"/>
      <c r="E62" s="22"/>
      <c r="F62" s="111"/>
      <c r="G62" s="102"/>
      <c r="H62" s="112">
        <f>ROUND(-H61*10%,2)</f>
        <v>-2.96</v>
      </c>
      <c r="I62" s="104"/>
      <c r="J62" s="104"/>
      <c r="K62" s="104"/>
      <c r="L62" s="113">
        <f>ROUND(-L61*10%,2)</f>
        <v>-2.61</v>
      </c>
      <c r="M62" s="107"/>
      <c r="N62" s="114">
        <f t="shared" si="10"/>
        <v>0.35000000000000009</v>
      </c>
      <c r="O62" s="115">
        <f t="shared" si="11"/>
        <v>-0.11824324324324327</v>
      </c>
    </row>
    <row r="63" spans="2:19" hidden="1" x14ac:dyDescent="0.25">
      <c r="B63" s="246" t="s">
        <v>44</v>
      </c>
      <c r="C63" s="246"/>
      <c r="D63" s="246"/>
      <c r="E63" s="116"/>
      <c r="F63" s="117"/>
      <c r="G63" s="118"/>
      <c r="H63" s="119">
        <f>H61+H62</f>
        <v>26.656350799999998</v>
      </c>
      <c r="I63" s="120"/>
      <c r="J63" s="120"/>
      <c r="K63" s="120"/>
      <c r="L63" s="121">
        <f>L61+L62</f>
        <v>23.476823388672674</v>
      </c>
      <c r="M63" s="122"/>
      <c r="N63" s="123">
        <f t="shared" si="10"/>
        <v>-3.1795274113273244</v>
      </c>
      <c r="O63" s="124">
        <f t="shared" si="11"/>
        <v>-0.11927842018523123</v>
      </c>
    </row>
    <row r="64" spans="2:19" s="73" customFormat="1" ht="8.25" hidden="1" customHeight="1" x14ac:dyDescent="0.2">
      <c r="B64" s="125"/>
      <c r="C64" s="126"/>
      <c r="D64" s="127"/>
      <c r="E64" s="126"/>
      <c r="F64" s="84"/>
      <c r="G64" s="128"/>
      <c r="H64" s="86"/>
      <c r="I64" s="129"/>
      <c r="J64" s="84"/>
      <c r="K64" s="130"/>
      <c r="L64" s="86"/>
      <c r="M64" s="129"/>
      <c r="N64" s="131"/>
      <c r="O64" s="90"/>
    </row>
    <row r="65" spans="1:15" s="73" customFormat="1" ht="12.75" x14ac:dyDescent="0.2">
      <c r="B65" s="132" t="s">
        <v>45</v>
      </c>
      <c r="C65" s="75"/>
      <c r="D65" s="75"/>
      <c r="E65" s="75"/>
      <c r="F65" s="133"/>
      <c r="G65" s="134"/>
      <c r="H65" s="135">
        <f>SUM(H53,H48,H49:H52)</f>
        <v>26.209160000000004</v>
      </c>
      <c r="I65" s="136"/>
      <c r="J65" s="137"/>
      <c r="K65" s="137"/>
      <c r="L65" s="188">
        <f>SUM(L53,L48,L49:L52)</f>
        <v>23.085684414754574</v>
      </c>
      <c r="M65" s="138"/>
      <c r="N65" s="139">
        <f>L65-H65</f>
        <v>-3.1234755852454299</v>
      </c>
      <c r="O65" s="99">
        <f>IF((H65)=0,"",(N65/H65))</f>
        <v>-0.11917495964179811</v>
      </c>
    </row>
    <row r="66" spans="1:15" s="73" customFormat="1" ht="12.75" x14ac:dyDescent="0.2">
      <c r="B66" s="140" t="s">
        <v>41</v>
      </c>
      <c r="C66" s="75"/>
      <c r="D66" s="75"/>
      <c r="E66" s="75"/>
      <c r="F66" s="141">
        <v>0.13</v>
      </c>
      <c r="G66" s="134"/>
      <c r="H66" s="142">
        <f>H65*F66</f>
        <v>3.4071908000000009</v>
      </c>
      <c r="I66" s="143"/>
      <c r="J66" s="144">
        <v>0.13</v>
      </c>
      <c r="K66" s="145"/>
      <c r="L66" s="146">
        <f>L65*J66</f>
        <v>3.0011389739180947</v>
      </c>
      <c r="M66" s="147"/>
      <c r="N66" s="148">
        <f>L66-H66</f>
        <v>-0.40605182608190615</v>
      </c>
      <c r="O66" s="109">
        <f>IF((H66)=0,"",(N66/H66))</f>
        <v>-0.11917495964179818</v>
      </c>
    </row>
    <row r="67" spans="1:15" s="73" customFormat="1" ht="12.75" x14ac:dyDescent="0.2">
      <c r="B67" s="149" t="s">
        <v>42</v>
      </c>
      <c r="C67" s="75"/>
      <c r="D67" s="75"/>
      <c r="E67" s="75"/>
      <c r="F67" s="150"/>
      <c r="G67" s="151"/>
      <c r="H67" s="142">
        <f>H65+H66</f>
        <v>29.616350800000006</v>
      </c>
      <c r="I67" s="143"/>
      <c r="J67" s="143"/>
      <c r="K67" s="143"/>
      <c r="L67" s="146">
        <f>L65+L66</f>
        <v>26.08682338867267</v>
      </c>
      <c r="M67" s="147"/>
      <c r="N67" s="148">
        <f>L67-H67</f>
        <v>-3.5295274113273365</v>
      </c>
      <c r="O67" s="109">
        <f>IF((H67)=0,"",(N67/H67))</f>
        <v>-0.11917495964179813</v>
      </c>
    </row>
    <row r="68" spans="1:15" s="73" customFormat="1" ht="15.75" customHeight="1" x14ac:dyDescent="0.2">
      <c r="B68" s="241" t="s">
        <v>43</v>
      </c>
      <c r="C68" s="241"/>
      <c r="D68" s="241"/>
      <c r="E68" s="75"/>
      <c r="F68" s="150"/>
      <c r="G68" s="151"/>
      <c r="H68" s="152">
        <f>ROUND(-H67*10%,2)</f>
        <v>-2.96</v>
      </c>
      <c r="I68" s="143"/>
      <c r="J68" s="143"/>
      <c r="K68" s="143"/>
      <c r="L68" s="153">
        <f>ROUND(-L67*10%,2)</f>
        <v>-2.61</v>
      </c>
      <c r="M68" s="147"/>
      <c r="N68" s="154">
        <f>L68-H68</f>
        <v>0.35000000000000009</v>
      </c>
      <c r="O68" s="115">
        <f>IF((H68)=0,"",(N68/H68))</f>
        <v>-0.11824324324324327</v>
      </c>
    </row>
    <row r="69" spans="1:15" s="73" customFormat="1" ht="13.5" thickBot="1" x14ac:dyDescent="0.25">
      <c r="B69" s="233" t="s">
        <v>46</v>
      </c>
      <c r="C69" s="233"/>
      <c r="D69" s="233"/>
      <c r="E69" s="155"/>
      <c r="F69" s="156"/>
      <c r="G69" s="157"/>
      <c r="H69" s="158">
        <f>SUM(H67:H68)</f>
        <v>26.656350800000006</v>
      </c>
      <c r="I69" s="159"/>
      <c r="J69" s="159"/>
      <c r="K69" s="159"/>
      <c r="L69" s="160">
        <f>SUM(L67:L68)</f>
        <v>23.47682338867267</v>
      </c>
      <c r="M69" s="161"/>
      <c r="N69" s="162">
        <f>L69-H69</f>
        <v>-3.1795274113273351</v>
      </c>
      <c r="O69" s="163">
        <f>IF((H69)=0,"",(N69/H69))</f>
        <v>-0.11927842018523159</v>
      </c>
    </row>
    <row r="70" spans="1:15" s="73" customFormat="1" ht="8.25" customHeight="1" thickBot="1" x14ac:dyDescent="0.25">
      <c r="B70" s="125"/>
      <c r="C70" s="126"/>
      <c r="D70" s="127"/>
      <c r="E70" s="126"/>
      <c r="F70" s="164"/>
      <c r="G70" s="165"/>
      <c r="H70" s="166"/>
      <c r="I70" s="167"/>
      <c r="J70" s="164"/>
      <c r="K70" s="128"/>
      <c r="L70" s="168"/>
      <c r="M70" s="129"/>
      <c r="N70" s="169"/>
      <c r="O70" s="90"/>
    </row>
    <row r="71" spans="1:15" ht="10.5" customHeight="1" x14ac:dyDescent="0.25">
      <c r="L71" s="72"/>
    </row>
    <row r="72" spans="1:15" x14ac:dyDescent="0.25">
      <c r="B72" s="13" t="s">
        <v>47</v>
      </c>
      <c r="F72" s="170">
        <v>4.8000000000000001E-2</v>
      </c>
      <c r="J72" s="170">
        <f>'Res (100kWh)'!$J$74</f>
        <v>4.7100000000000003E-2</v>
      </c>
    </row>
    <row r="74" spans="1:15" x14ac:dyDescent="0.25">
      <c r="A74" s="171" t="s">
        <v>48</v>
      </c>
    </row>
    <row r="75" spans="1:15" ht="10.5" customHeight="1" x14ac:dyDescent="0.25"/>
    <row r="76" spans="1:15" x14ac:dyDescent="0.25">
      <c r="A76" s="7" t="s">
        <v>49</v>
      </c>
    </row>
    <row r="77" spans="1:15" x14ac:dyDescent="0.25">
      <c r="A77" s="7" t="s">
        <v>50</v>
      </c>
    </row>
    <row r="79" spans="1:15" x14ac:dyDescent="0.25">
      <c r="A79" s="12" t="s">
        <v>51</v>
      </c>
    </row>
    <row r="80" spans="1:15" x14ac:dyDescent="0.25">
      <c r="A80" s="12" t="s">
        <v>52</v>
      </c>
    </row>
    <row r="82" spans="1:2" x14ac:dyDescent="0.25">
      <c r="A82" s="7" t="s">
        <v>53</v>
      </c>
    </row>
    <row r="83" spans="1:2" x14ac:dyDescent="0.25">
      <c r="A83" s="7" t="s">
        <v>54</v>
      </c>
    </row>
    <row r="84" spans="1:2" x14ac:dyDescent="0.25">
      <c r="A84" s="7" t="s">
        <v>55</v>
      </c>
    </row>
    <row r="85" spans="1:2" x14ac:dyDescent="0.25">
      <c r="A85" s="7" t="s">
        <v>56</v>
      </c>
    </row>
    <row r="86" spans="1:2" x14ac:dyDescent="0.25">
      <c r="A86" s="7" t="s">
        <v>57</v>
      </c>
    </row>
    <row r="88" spans="1:2" x14ac:dyDescent="0.25">
      <c r="A88" s="172"/>
      <c r="B88" s="7" t="s">
        <v>58</v>
      </c>
    </row>
  </sheetData>
  <mergeCells count="17">
    <mergeCell ref="N18:O18"/>
    <mergeCell ref="N1:O1"/>
    <mergeCell ref="N2:O2"/>
    <mergeCell ref="N3:O3"/>
    <mergeCell ref="N5:O5"/>
    <mergeCell ref="B8:O8"/>
    <mergeCell ref="B9:O9"/>
    <mergeCell ref="D12:O12"/>
    <mergeCell ref="F18:H18"/>
    <mergeCell ref="J18:L18"/>
    <mergeCell ref="B69:D69"/>
    <mergeCell ref="D19:D20"/>
    <mergeCell ref="N19:N20"/>
    <mergeCell ref="O19:O20"/>
    <mergeCell ref="B62:D62"/>
    <mergeCell ref="B63:D63"/>
    <mergeCell ref="B68:D68"/>
  </mergeCells>
  <dataValidations count="4">
    <dataValidation type="list" allowBlank="1" showInputMessage="1" showErrorMessage="1" sqref="E46:E47 E38:E44 E21:E36 E49:E55 E58">
      <formula1>#REF!</formula1>
    </dataValidation>
    <dataValidation type="list" allowBlank="1" showInputMessage="1" showErrorMessage="1" prompt="Select Charge Unit - monthly, per kWh, per kW" sqref="D46:D47 D38:D44 D64 D21:D36 D70 D49:D58">
      <formula1>"Monthly, per kWh, per kW"</formula1>
    </dataValidation>
    <dataValidation type="list" allowBlank="1" showInputMessage="1" showErrorMessage="1" sqref="E70 E64 E56:E57">
      <formula1>#REF!</formula1>
    </dataValidation>
    <dataValidation type="list" allowBlank="1" showInputMessage="1" showErrorMessage="1" sqref="D14">
      <formula1>"TOU, non-TOU"</formula1>
    </dataValidation>
  </dataValidations>
  <pageMargins left="0.7" right="0.7" top="0.75" bottom="0.75" header="0.3" footer="0.3"/>
  <pageSetup scale="56" fitToHeight="0" orientation="portrait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T27"/>
  <sheetViews>
    <sheetView zoomScaleNormal="100" workbookViewId="0">
      <selection activeCell="R7" sqref="R7"/>
    </sheetView>
  </sheetViews>
  <sheetFormatPr defaultRowHeight="15" x14ac:dyDescent="0.25"/>
  <cols>
    <col min="1" max="1" width="1.7109375" customWidth="1"/>
    <col min="2" max="2" width="7.5703125" customWidth="1"/>
    <col min="3" max="3" width="4.7109375" customWidth="1"/>
    <col min="4" max="4" width="9.140625" bestFit="1" customWidth="1"/>
    <col min="5" max="5" width="5.5703125" bestFit="1" customWidth="1"/>
    <col min="6" max="6" width="10.140625" style="198" bestFit="1" customWidth="1"/>
    <col min="7" max="7" width="11.5703125" style="198" customWidth="1"/>
    <col min="8" max="8" width="11.85546875" style="198" bestFit="1" customWidth="1"/>
    <col min="9" max="9" width="12.7109375" style="198" bestFit="1" customWidth="1"/>
    <col min="10" max="11" width="11.140625" style="198" bestFit="1" customWidth="1"/>
    <col min="12" max="12" width="10.5703125" style="198" bestFit="1" customWidth="1"/>
    <col min="13" max="13" width="9.85546875" style="198" customWidth="1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248" t="str">
        <f>'Res (100kWh)'!$N$1:$O$1</f>
        <v>EB-2014-0099</v>
      </c>
      <c r="O1" s="248"/>
      <c r="P1"/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94</v>
      </c>
      <c r="N2" s="249">
        <f>'Res (100kWh)'!$N$2:$O$2</f>
        <v>8</v>
      </c>
      <c r="O2" s="249"/>
      <c r="P2"/>
    </row>
    <row r="3" spans="1:20" s="2" customFormat="1" ht="15" customHeight="1" x14ac:dyDescent="0.25">
      <c r="C3" s="6"/>
      <c r="D3" s="6"/>
      <c r="E3" s="6"/>
      <c r="L3" s="3" t="s">
        <v>95</v>
      </c>
      <c r="N3" s="248" t="str">
        <f>'Res (100kWh)'!$N$3:$O$3</f>
        <v>8-B</v>
      </c>
      <c r="O3" s="248"/>
      <c r="P3"/>
    </row>
    <row r="4" spans="1:20" s="2" customFormat="1" ht="9" customHeight="1" x14ac:dyDescent="0.25">
      <c r="L4" s="3"/>
      <c r="N4" s="232"/>
      <c r="O4"/>
      <c r="P4"/>
    </row>
    <row r="5" spans="1:20" s="2" customFormat="1" x14ac:dyDescent="0.25">
      <c r="L5" s="3" t="s">
        <v>75</v>
      </c>
      <c r="N5" s="248">
        <f>'Res (100kWh)'!$N$5:$O$5</f>
        <v>42118</v>
      </c>
      <c r="O5" s="248"/>
      <c r="P5"/>
    </row>
    <row r="6" spans="1:20" ht="21.7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20" ht="22.5" thickBo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20" ht="26.25" customHeight="1" thickBot="1" x14ac:dyDescent="0.3">
      <c r="B8" s="252" t="s">
        <v>76</v>
      </c>
      <c r="C8" s="253"/>
      <c r="D8" s="201" t="s">
        <v>77</v>
      </c>
      <c r="E8" s="201" t="s">
        <v>69</v>
      </c>
      <c r="F8" s="201" t="s">
        <v>85</v>
      </c>
      <c r="G8" s="201" t="s">
        <v>86</v>
      </c>
      <c r="H8" s="201" t="s">
        <v>78</v>
      </c>
      <c r="I8" s="201" t="s">
        <v>79</v>
      </c>
      <c r="J8" s="201" t="s">
        <v>83</v>
      </c>
      <c r="K8" s="201" t="s">
        <v>84</v>
      </c>
      <c r="L8" s="201" t="s">
        <v>89</v>
      </c>
      <c r="M8" s="202" t="s">
        <v>79</v>
      </c>
    </row>
    <row r="9" spans="1:20" x14ac:dyDescent="0.25">
      <c r="B9" s="265" t="s">
        <v>90</v>
      </c>
      <c r="C9" s="266"/>
      <c r="D9" s="229">
        <v>100</v>
      </c>
      <c r="E9" s="262"/>
      <c r="F9" s="211">
        <f>'Res (100kWh)'!$H$38</f>
        <v>18.63</v>
      </c>
      <c r="G9" s="211">
        <f>'Res (100kWh)'!$L$38</f>
        <v>18.390476042364778</v>
      </c>
      <c r="H9" s="211">
        <f>G9-F9</f>
        <v>-0.23952395763522105</v>
      </c>
      <c r="I9" s="212">
        <f>H9/F9</f>
        <v>-1.28568952031788E-2</v>
      </c>
      <c r="J9" s="211">
        <f>'Res (100kWh)'!$H$65</f>
        <v>32.383231839999993</v>
      </c>
      <c r="K9" s="211">
        <f>'Res (100kWh)'!$L$65</f>
        <v>32.255375821760623</v>
      </c>
      <c r="L9" s="211">
        <f>K9-J9</f>
        <v>-0.12785601823937043</v>
      </c>
      <c r="M9" s="213">
        <f>L9/J9</f>
        <v>-3.9482167459716543E-3</v>
      </c>
    </row>
    <row r="10" spans="1:20" x14ac:dyDescent="0.25">
      <c r="B10" s="267"/>
      <c r="C10" s="268"/>
      <c r="D10" s="230">
        <v>250</v>
      </c>
      <c r="E10" s="263"/>
      <c r="F10" s="214">
        <f>'Res (250kWh)'!$H$38</f>
        <v>20.564999999999998</v>
      </c>
      <c r="G10" s="214">
        <f>'Res (250kWh)'!$L$38</f>
        <v>19.574367882431929</v>
      </c>
      <c r="H10" s="214">
        <f t="shared" ref="H10:H15" si="0">G10-F10</f>
        <v>-0.99063211756806879</v>
      </c>
      <c r="I10" s="215">
        <f t="shared" ref="I10:I15" si="1">H10/F10</f>
        <v>-4.8170781306494964E-2</v>
      </c>
      <c r="J10" s="214">
        <f>'Res (250kWh)'!$H$65</f>
        <v>52.923979600000003</v>
      </c>
      <c r="K10" s="214">
        <f>'Res (250kWh)'!$L$65</f>
        <v>52.191580441869128</v>
      </c>
      <c r="L10" s="214">
        <f t="shared" ref="L10:L15" si="2">K10-J10</f>
        <v>-0.73239915813087464</v>
      </c>
      <c r="M10" s="216">
        <f t="shared" ref="M10:M15" si="3">L10/J10</f>
        <v>-1.3838701542596669E-2</v>
      </c>
    </row>
    <row r="11" spans="1:20" x14ac:dyDescent="0.25">
      <c r="B11" s="267"/>
      <c r="C11" s="268"/>
      <c r="D11" s="230">
        <v>500</v>
      </c>
      <c r="E11" s="263"/>
      <c r="F11" s="214">
        <f>'Res (500kWh)'!$H$38</f>
        <v>23.79</v>
      </c>
      <c r="G11" s="214">
        <f>'Res (500kWh)'!$L$38</f>
        <v>21.549014894917203</v>
      </c>
      <c r="H11" s="214">
        <f t="shared" si="0"/>
        <v>-2.240985105082796</v>
      </c>
      <c r="I11" s="215">
        <f t="shared" si="1"/>
        <v>-9.4198617279646749E-2</v>
      </c>
      <c r="J11" s="214">
        <f>'Res (500kWh)'!$H$65</f>
        <v>87.158559199999985</v>
      </c>
      <c r="K11" s="214">
        <f>'Res (500kWh)'!$L$65</f>
        <v>85.430276300698523</v>
      </c>
      <c r="L11" s="214">
        <f t="shared" si="2"/>
        <v>-1.7282828993014618</v>
      </c>
      <c r="M11" s="216">
        <f t="shared" si="3"/>
        <v>-1.982918161067378E-2</v>
      </c>
      <c r="P11" s="194"/>
    </row>
    <row r="12" spans="1:20" s="192" customFormat="1" x14ac:dyDescent="0.25">
      <c r="B12" s="267"/>
      <c r="C12" s="268"/>
      <c r="D12" s="217">
        <v>800</v>
      </c>
      <c r="E12" s="263"/>
      <c r="F12" s="218">
        <f>'Res (800kWh)'!$H$38</f>
        <v>27.66</v>
      </c>
      <c r="G12" s="218">
        <f>'Res (800kWh)'!$L$38</f>
        <v>24.0638083389182</v>
      </c>
      <c r="H12" s="218">
        <f t="shared" si="0"/>
        <v>-3.5961916610818001</v>
      </c>
      <c r="I12" s="219">
        <f t="shared" si="1"/>
        <v>-0.13001415983665221</v>
      </c>
      <c r="J12" s="218">
        <f>'Res (800kWh)'!$H$65</f>
        <v>128.23005472000003</v>
      </c>
      <c r="K12" s="218">
        <f>'Res (800kWh)'!$L$65</f>
        <v>125.45880657408492</v>
      </c>
      <c r="L12" s="218">
        <f t="shared" si="2"/>
        <v>-2.7712481459151093</v>
      </c>
      <c r="M12" s="220">
        <f t="shared" si="3"/>
        <v>-2.1611533676456258E-2</v>
      </c>
      <c r="Q12"/>
      <c r="R12"/>
      <c r="S12"/>
      <c r="T12"/>
    </row>
    <row r="13" spans="1:20" x14ac:dyDescent="0.25">
      <c r="B13" s="267"/>
      <c r="C13" s="268"/>
      <c r="D13" s="221">
        <v>1000</v>
      </c>
      <c r="E13" s="263"/>
      <c r="F13" s="214">
        <f>'Res (1000kWh)'!$H$38</f>
        <v>30.240000000000002</v>
      </c>
      <c r="G13" s="214">
        <f>'Res (1000kWh)'!$L$38</f>
        <v>25.684760423647749</v>
      </c>
      <c r="H13" s="214">
        <f t="shared" si="0"/>
        <v>-4.5552395763522533</v>
      </c>
      <c r="I13" s="215">
        <f t="shared" si="1"/>
        <v>-0.15063622937672794</v>
      </c>
      <c r="J13" s="214">
        <f>'Res (1000kWh)'!$H$65</f>
        <v>155.6177184</v>
      </c>
      <c r="K13" s="214">
        <f>'Res (1000kWh)'!$L$65</f>
        <v>152.08835821760613</v>
      </c>
      <c r="L13" s="214">
        <f t="shared" si="2"/>
        <v>-3.5293601823938729</v>
      </c>
      <c r="M13" s="216">
        <f t="shared" si="3"/>
        <v>-2.2679680814507257E-2</v>
      </c>
    </row>
    <row r="14" spans="1:20" x14ac:dyDescent="0.25">
      <c r="B14" s="267"/>
      <c r="C14" s="268"/>
      <c r="D14" s="221">
        <v>1500</v>
      </c>
      <c r="E14" s="263"/>
      <c r="F14" s="214">
        <f>'Res (1500kWh)'!$H$38</f>
        <v>36.69</v>
      </c>
      <c r="G14" s="214">
        <f>'Res (1500kWh)'!$L$38</f>
        <v>29.737140635471619</v>
      </c>
      <c r="H14" s="214">
        <f t="shared" si="0"/>
        <v>-6.9528593645283792</v>
      </c>
      <c r="I14" s="215">
        <f t="shared" si="1"/>
        <v>-0.18950284449518615</v>
      </c>
      <c r="J14" s="214">
        <f>'Res (1500kWh)'!$H$65</f>
        <v>224.07687759999999</v>
      </c>
      <c r="K14" s="214">
        <f>'Res (1500kWh)'!$L$65</f>
        <v>218.66223732640924</v>
      </c>
      <c r="L14" s="214">
        <f t="shared" si="2"/>
        <v>-5.4146402735907486</v>
      </c>
      <c r="M14" s="216">
        <f t="shared" si="3"/>
        <v>-2.4164207978908166E-2</v>
      </c>
    </row>
    <row r="15" spans="1:20" ht="15.75" thickBot="1" x14ac:dyDescent="0.3">
      <c r="B15" s="269"/>
      <c r="C15" s="270"/>
      <c r="D15" s="222">
        <v>2000</v>
      </c>
      <c r="E15" s="264"/>
      <c r="F15" s="223">
        <f>'Res (2000kWh)'!$H$38</f>
        <v>43.14</v>
      </c>
      <c r="G15" s="223">
        <f>'Res (2000kWh)'!$L$38</f>
        <v>33.789520847295492</v>
      </c>
      <c r="H15" s="223">
        <f t="shared" si="0"/>
        <v>-9.3504791527045086</v>
      </c>
      <c r="I15" s="224">
        <f t="shared" si="1"/>
        <v>-0.21674731461994687</v>
      </c>
      <c r="J15" s="223">
        <f>'Res (2000kWh)'!$H$65</f>
        <v>292.54603680000002</v>
      </c>
      <c r="K15" s="223">
        <f>'Res (2000kWh)'!$L$65</f>
        <v>285.24611643521229</v>
      </c>
      <c r="L15" s="223">
        <f t="shared" si="2"/>
        <v>-7.299920364787738</v>
      </c>
      <c r="M15" s="225">
        <f t="shared" si="3"/>
        <v>-2.4953065317983955E-2</v>
      </c>
    </row>
    <row r="16" spans="1:20" x14ac:dyDescent="0.25">
      <c r="B16" s="256" t="s">
        <v>91</v>
      </c>
      <c r="C16" s="257"/>
      <c r="D16" s="226">
        <v>1000</v>
      </c>
      <c r="E16" s="262"/>
      <c r="F16" s="211">
        <f>'GS&lt;50 (1,000kWh)'!$H$38</f>
        <v>49.239999999999995</v>
      </c>
      <c r="G16" s="211">
        <f>'GS&lt;50 (1,000kWh)'!$L$38</f>
        <v>39.611499147177774</v>
      </c>
      <c r="H16" s="211">
        <f>G16-F16</f>
        <v>-9.6285008528222207</v>
      </c>
      <c r="I16" s="212">
        <f>H16/F16</f>
        <v>-0.19554225939931399</v>
      </c>
      <c r="J16" s="211">
        <f>'GS&lt;50 (1,000kWh)'!$H$65</f>
        <v>173.98190239999997</v>
      </c>
      <c r="K16" s="211">
        <f>'GS&lt;50 (1,000kWh)'!$L$65</f>
        <v>166.38332887994852</v>
      </c>
      <c r="L16" s="211">
        <f>K16-J16</f>
        <v>-7.5985735200514455</v>
      </c>
      <c r="M16" s="213">
        <f>L16/J16</f>
        <v>-4.3674505309073151E-2</v>
      </c>
    </row>
    <row r="17" spans="2:20" s="192" customFormat="1" x14ac:dyDescent="0.25">
      <c r="B17" s="258"/>
      <c r="C17" s="259"/>
      <c r="D17" s="227">
        <v>2000</v>
      </c>
      <c r="E17" s="263"/>
      <c r="F17" s="218">
        <f>'GS&lt;50 (2,000kWh)'!$H$38</f>
        <v>65.740000000000009</v>
      </c>
      <c r="G17" s="218">
        <f>'GS&lt;50 (2,000kWh)'!$L$38</f>
        <v>52.512998294355548</v>
      </c>
      <c r="H17" s="218">
        <f t="shared" ref="H17:H19" si="4">G17-F17</f>
        <v>-13.227001705644462</v>
      </c>
      <c r="I17" s="219">
        <f t="shared" ref="I17:I19" si="5">H17/F17</f>
        <v>-0.2012017296264749</v>
      </c>
      <c r="J17" s="218">
        <f>'GS&lt;50 (2,000kWh)'!$H$65</f>
        <v>313.60240479999999</v>
      </c>
      <c r="K17" s="218">
        <f>'GS&lt;50 (2,000kWh)'!$L$65</f>
        <v>304.54915775989707</v>
      </c>
      <c r="L17" s="218">
        <f t="shared" ref="L17:L19" si="6">K17-J17</f>
        <v>-9.0532470401029173</v>
      </c>
      <c r="M17" s="220">
        <f t="shared" ref="M17:M19" si="7">L17/J17</f>
        <v>-2.8868551074653359E-2</v>
      </c>
      <c r="Q17"/>
      <c r="R17"/>
      <c r="S17"/>
      <c r="T17"/>
    </row>
    <row r="18" spans="2:20" x14ac:dyDescent="0.25">
      <c r="B18" s="258"/>
      <c r="C18" s="259"/>
      <c r="D18" s="221">
        <v>5000</v>
      </c>
      <c r="E18" s="263"/>
      <c r="F18" s="214">
        <f>'GS&lt;50 (5,000kWh)'!$H$38</f>
        <v>115.24000000000001</v>
      </c>
      <c r="G18" s="214">
        <f>'GS&lt;50 (5,000kWh)'!$L$38</f>
        <v>91.217495735888875</v>
      </c>
      <c r="H18" s="214">
        <f t="shared" si="4"/>
        <v>-24.022504264111134</v>
      </c>
      <c r="I18" s="215">
        <f t="shared" si="5"/>
        <v>-0.20845630218770508</v>
      </c>
      <c r="J18" s="214">
        <f>'GS&lt;50 (5,000kWh)'!$H$65</f>
        <v>732.48391200000003</v>
      </c>
      <c r="K18" s="214">
        <f>'GS&lt;50 (5,000kWh)'!$L$65</f>
        <v>719.04664439974283</v>
      </c>
      <c r="L18" s="214">
        <f t="shared" si="6"/>
        <v>-13.437267600257201</v>
      </c>
      <c r="M18" s="216">
        <f t="shared" si="7"/>
        <v>-1.8344795537648888E-2</v>
      </c>
    </row>
    <row r="19" spans="2:20" x14ac:dyDescent="0.25">
      <c r="B19" s="258"/>
      <c r="C19" s="259"/>
      <c r="D19" s="221">
        <v>10000</v>
      </c>
      <c r="E19" s="263"/>
      <c r="F19" s="214">
        <f>'GS&lt;50 (10,000kWh)'!$H$38</f>
        <v>197.74</v>
      </c>
      <c r="G19" s="214">
        <f>'GS&lt;50 (10,000kWh)'!$L$38</f>
        <v>155.72499147177774</v>
      </c>
      <c r="H19" s="214">
        <f t="shared" si="4"/>
        <v>-42.015008528222268</v>
      </c>
      <c r="I19" s="215">
        <f t="shared" si="5"/>
        <v>-0.212476021686165</v>
      </c>
      <c r="J19" s="214">
        <f>'GS&lt;50 (10,000kWh)'!$H$65</f>
        <v>1430.6164239999998</v>
      </c>
      <c r="K19" s="214">
        <f>'GS&lt;50 (10,000kWh)'!$L$65</f>
        <v>1409.8657887994857</v>
      </c>
      <c r="L19" s="214">
        <f t="shared" si="6"/>
        <v>-20.750635200514125</v>
      </c>
      <c r="M19" s="216">
        <f t="shared" si="7"/>
        <v>-1.4504681235586127E-2</v>
      </c>
    </row>
    <row r="20" spans="2:20" ht="15.75" thickBot="1" x14ac:dyDescent="0.3">
      <c r="B20" s="260"/>
      <c r="C20" s="261"/>
      <c r="D20" s="222">
        <v>15000</v>
      </c>
      <c r="E20" s="264"/>
      <c r="F20" s="223">
        <f>'GS&lt;50 (15,000kWh)'!$H$38</f>
        <v>280.24</v>
      </c>
      <c r="G20" s="223">
        <f>'GS&lt;50 (15,000kWh)'!$L$38</f>
        <v>220.23248720766662</v>
      </c>
      <c r="H20" s="223">
        <f t="shared" ref="H20:H27" si="8">G20-F20</f>
        <v>-60.007512792333387</v>
      </c>
      <c r="I20" s="224">
        <f t="shared" ref="I20:I27" si="9">H20/F20</f>
        <v>-0.21412900653844341</v>
      </c>
      <c r="J20" s="223">
        <f>'GS&lt;50 (15,000kWh)'!$H$65</f>
        <v>2128.7489360000004</v>
      </c>
      <c r="K20" s="223">
        <f>'GS&lt;50 (15,000kWh)'!$L$65</f>
        <v>2100.6849331992285</v>
      </c>
      <c r="L20" s="223">
        <f t="shared" ref="L20:L27" si="10">K20-J20</f>
        <v>-28.064002800771959</v>
      </c>
      <c r="M20" s="225">
        <f t="shared" ref="M20:M27" si="11">L20/J20</f>
        <v>-1.3183331451714207E-2</v>
      </c>
    </row>
    <row r="21" spans="2:20" x14ac:dyDescent="0.25">
      <c r="B21" s="256" t="s">
        <v>87</v>
      </c>
      <c r="C21" s="257"/>
      <c r="D21" s="226">
        <v>20000</v>
      </c>
      <c r="E21" s="229">
        <v>60</v>
      </c>
      <c r="F21" s="211">
        <f>'GS 50-2999 (60kW)'!$H$38</f>
        <v>418.31400000000002</v>
      </c>
      <c r="G21" s="211">
        <f>'GS 50-2999 (60kW)'!$L$38</f>
        <v>318.72290754782108</v>
      </c>
      <c r="H21" s="211">
        <f t="shared" si="8"/>
        <v>-99.591092452178941</v>
      </c>
      <c r="I21" s="212">
        <f t="shared" si="9"/>
        <v>-0.23807735923774709</v>
      </c>
      <c r="J21" s="211">
        <f>'GS 50-2999 (60kW)'!$H$70</f>
        <v>2711.7161800000003</v>
      </c>
      <c r="K21" s="211">
        <f>'GS 50-2999 (60kW)'!$L$70</f>
        <v>2719.7782163480651</v>
      </c>
      <c r="L21" s="211">
        <f t="shared" si="10"/>
        <v>8.0620363480647939</v>
      </c>
      <c r="M21" s="213">
        <f t="shared" si="11"/>
        <v>2.9730384055402116E-3</v>
      </c>
      <c r="P21" s="194"/>
    </row>
    <row r="22" spans="2:20" ht="15.75" thickBot="1" x14ac:dyDescent="0.3">
      <c r="B22" s="260"/>
      <c r="C22" s="261"/>
      <c r="D22" s="222">
        <v>40000</v>
      </c>
      <c r="E22" s="231">
        <v>100</v>
      </c>
      <c r="F22" s="223">
        <f>'GS 50-2999 (100kW)'!$H$38</f>
        <v>501.21000000000004</v>
      </c>
      <c r="G22" s="223">
        <f>'GS 50-2999 (100kW)'!$L$38</f>
        <v>303.40484591303505</v>
      </c>
      <c r="H22" s="223">
        <f t="shared" si="8"/>
        <v>-197.80515408696499</v>
      </c>
      <c r="I22" s="224">
        <f t="shared" si="9"/>
        <v>-0.39465524248711115</v>
      </c>
      <c r="J22" s="223">
        <f>'GS 50-2999 (100kW)'!$H$70</f>
        <v>4993.119020000001</v>
      </c>
      <c r="K22" s="223">
        <f>'GS 50-2999 (100kW)'!$L$70</f>
        <v>4973.7120012467749</v>
      </c>
      <c r="L22" s="223">
        <f t="shared" si="10"/>
        <v>-19.407018753226112</v>
      </c>
      <c r="M22" s="225">
        <f t="shared" si="11"/>
        <v>-3.8867526841421273E-3</v>
      </c>
    </row>
    <row r="23" spans="2:20" x14ac:dyDescent="0.25">
      <c r="B23" s="256" t="s">
        <v>81</v>
      </c>
      <c r="C23" s="257"/>
      <c r="D23" s="226">
        <v>900000</v>
      </c>
      <c r="E23" s="226">
        <v>3000</v>
      </c>
      <c r="F23" s="211">
        <f>'GS 3000-4999 (3,000kW)'!$H$37</f>
        <v>9133</v>
      </c>
      <c r="G23" s="211">
        <f>'GS 3000-4999 (3,000kW)'!$L$37</f>
        <v>-631.26714371498701</v>
      </c>
      <c r="H23" s="211">
        <f t="shared" si="8"/>
        <v>-9764.2671437149875</v>
      </c>
      <c r="I23" s="212">
        <f t="shared" si="9"/>
        <v>-1.0691193631572307</v>
      </c>
      <c r="J23" s="211">
        <f>'GS 3000-4999 (3,000kW)'!$H$69</f>
        <v>110442.28492400001</v>
      </c>
      <c r="K23" s="211">
        <f>'GS 3000-4999 (3,000kW)'!$L$69</f>
        <v>107971.96680335324</v>
      </c>
      <c r="L23" s="211">
        <f t="shared" si="10"/>
        <v>-2470.3181206467707</v>
      </c>
      <c r="M23" s="213">
        <f t="shared" si="11"/>
        <v>-2.2367502830520945E-2</v>
      </c>
      <c r="P23" s="194"/>
    </row>
    <row r="24" spans="2:20" ht="15.75" thickBot="1" x14ac:dyDescent="0.3">
      <c r="B24" s="260"/>
      <c r="C24" s="261"/>
      <c r="D24" s="222">
        <v>1800000</v>
      </c>
      <c r="E24" s="222">
        <v>5000</v>
      </c>
      <c r="F24" s="223">
        <f>'GS 3000-4999 (5,000kW)'!$H$37</f>
        <v>11325.6</v>
      </c>
      <c r="G24" s="223">
        <f>'GS 3000-4999 (5,000kW)'!$L$37</f>
        <v>-5504.4652395249805</v>
      </c>
      <c r="H24" s="223">
        <f t="shared" si="8"/>
        <v>-16830.065239524982</v>
      </c>
      <c r="I24" s="224">
        <f t="shared" si="9"/>
        <v>-1.486019746373259</v>
      </c>
      <c r="J24" s="223">
        <f>'GS 3000-4999 (5,000kW)'!$H$69</f>
        <v>208847.70094000001</v>
      </c>
      <c r="K24" s="223">
        <f>'GS 3000-4999 (5,000kW)'!$L$69</f>
        <v>204139.03560225538</v>
      </c>
      <c r="L24" s="223">
        <f t="shared" si="10"/>
        <v>-4708.6653377446346</v>
      </c>
      <c r="M24" s="225">
        <f t="shared" si="11"/>
        <v>-2.2545928523758994E-2</v>
      </c>
    </row>
    <row r="25" spans="2:20" ht="40.5" customHeight="1" thickBot="1" x14ac:dyDescent="0.3">
      <c r="B25" s="254" t="s">
        <v>72</v>
      </c>
      <c r="C25" s="255"/>
      <c r="D25" s="228">
        <v>150</v>
      </c>
      <c r="E25" s="203"/>
      <c r="F25" s="204">
        <f>'USL (150kWh)'!H37</f>
        <v>9.43</v>
      </c>
      <c r="G25" s="204">
        <f>'USL (150kWh)'!L37</f>
        <v>6.4645882074911647</v>
      </c>
      <c r="H25" s="204">
        <f t="shared" si="8"/>
        <v>-2.965411792508835</v>
      </c>
      <c r="I25" s="205">
        <f t="shared" si="9"/>
        <v>-0.31446572561069303</v>
      </c>
      <c r="J25" s="204">
        <f>'USL (150kWh)'!H69</f>
        <v>26.656350800000006</v>
      </c>
      <c r="K25" s="204">
        <f>'USL (150kWh)'!L69</f>
        <v>23.47682338867267</v>
      </c>
      <c r="L25" s="204">
        <f t="shared" si="10"/>
        <v>-3.1795274113273351</v>
      </c>
      <c r="M25" s="206">
        <f t="shared" si="11"/>
        <v>-0.11927842018523159</v>
      </c>
    </row>
    <row r="26" spans="2:20" ht="32.25" customHeight="1" thickBot="1" x14ac:dyDescent="0.3">
      <c r="B26" s="254" t="s">
        <v>71</v>
      </c>
      <c r="C26" s="255"/>
      <c r="D26" s="203">
        <v>150</v>
      </c>
      <c r="E26" s="203">
        <v>1</v>
      </c>
      <c r="F26" s="204">
        <f>'ST (1kW)'!H38</f>
        <v>30.5489</v>
      </c>
      <c r="G26" s="204">
        <f>'ST (1kW)'!L38</f>
        <v>43.52493293286112</v>
      </c>
      <c r="H26" s="204">
        <f t="shared" si="8"/>
        <v>12.97603293286112</v>
      </c>
      <c r="I26" s="205">
        <f t="shared" si="9"/>
        <v>0.42476268974860371</v>
      </c>
      <c r="J26" s="204">
        <f>'ST (1kW)'!H70</f>
        <v>49.995748447999993</v>
      </c>
      <c r="K26" s="204">
        <f>'ST (1kW)'!L70</f>
        <v>51.890759125457734</v>
      </c>
      <c r="L26" s="204">
        <f t="shared" si="10"/>
        <v>1.8950106774577407</v>
      </c>
      <c r="M26" s="206">
        <f t="shared" si="11"/>
        <v>3.7903436517781497E-2</v>
      </c>
    </row>
    <row r="27" spans="2:20" ht="30.75" customHeight="1" thickBot="1" x14ac:dyDescent="0.3">
      <c r="B27" s="250" t="s">
        <v>82</v>
      </c>
      <c r="C27" s="251"/>
      <c r="D27" s="207">
        <v>150</v>
      </c>
      <c r="E27" s="207">
        <v>1</v>
      </c>
      <c r="F27" s="208">
        <f>'SL (1kW)'!H45</f>
        <v>19.979800000000001</v>
      </c>
      <c r="G27" s="208">
        <f>'SL (1kW)'!L45</f>
        <v>17.09331454826372</v>
      </c>
      <c r="H27" s="208">
        <f t="shared" si="8"/>
        <v>-2.8864854517362808</v>
      </c>
      <c r="I27" s="209">
        <f t="shared" si="9"/>
        <v>-0.14447018747616497</v>
      </c>
      <c r="J27" s="208">
        <f>'SL (1kW)'!H69</f>
        <v>38.8987032</v>
      </c>
      <c r="K27" s="208">
        <f>'SL (1kW)'!L69</f>
        <v>36.069854771068712</v>
      </c>
      <c r="L27" s="208">
        <f t="shared" si="10"/>
        <v>-2.8288484289312876</v>
      </c>
      <c r="M27" s="210">
        <f t="shared" si="11"/>
        <v>-7.2723463668868213E-2</v>
      </c>
    </row>
  </sheetData>
  <mergeCells count="14">
    <mergeCell ref="N1:O1"/>
    <mergeCell ref="N2:O2"/>
    <mergeCell ref="N3:O3"/>
    <mergeCell ref="N5:O5"/>
    <mergeCell ref="B27:C27"/>
    <mergeCell ref="B8:C8"/>
    <mergeCell ref="B26:C26"/>
    <mergeCell ref="B25:C25"/>
    <mergeCell ref="B16:C20"/>
    <mergeCell ref="E16:E20"/>
    <mergeCell ref="B21:C22"/>
    <mergeCell ref="B23:C24"/>
    <mergeCell ref="E9:E15"/>
    <mergeCell ref="B9:C15"/>
  </mergeCells>
  <pageMargins left="0.7" right="0.7" top="0.75" bottom="0.75" header="0.3" footer="0.3"/>
  <pageSetup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theme="0" tint="-0.14999847407452621"/>
    <pageSetUpPr fitToPage="1"/>
  </sheetPr>
  <dimension ref="A1:T90"/>
  <sheetViews>
    <sheetView showGridLines="0" workbookViewId="0">
      <selection activeCell="L1" sqref="L1:O5"/>
    </sheetView>
  </sheetViews>
  <sheetFormatPr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8.5703125" style="7" customWidth="1"/>
    <col min="8" max="8" width="9.7109375" style="7" customWidth="1"/>
    <col min="9" max="9" width="2.85546875" style="7" customWidth="1"/>
    <col min="10" max="10" width="12.140625" style="7" customWidth="1"/>
    <col min="11" max="11" width="8.5703125" style="7" customWidth="1"/>
    <col min="12" max="12" width="9.7109375" style="7" customWidth="1"/>
    <col min="13" max="13" width="2.85546875" style="7" customWidth="1"/>
    <col min="14" max="14" width="11.5703125" style="7" customWidth="1"/>
    <col min="15" max="15" width="10.85546875" style="7" bestFit="1" customWidth="1"/>
    <col min="16" max="16" width="6.4257812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248" t="str">
        <f>'Res (100kWh)'!$N$1:$O$1</f>
        <v>EB-2014-0099</v>
      </c>
      <c r="O1" s="248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94</v>
      </c>
      <c r="N2" s="249">
        <f>'Res (100kWh)'!$N$2:$O$2</f>
        <v>8</v>
      </c>
      <c r="O2" s="249"/>
    </row>
    <row r="3" spans="1:20" s="2" customFormat="1" ht="15" customHeight="1" x14ac:dyDescent="0.25">
      <c r="C3" s="6"/>
      <c r="D3" s="6"/>
      <c r="E3" s="6"/>
      <c r="L3" s="3" t="s">
        <v>95</v>
      </c>
      <c r="N3" s="248" t="str">
        <f>'Res (100kWh)'!$N$3:$O$3</f>
        <v>8-B</v>
      </c>
      <c r="O3" s="248"/>
    </row>
    <row r="4" spans="1:20" s="2" customFormat="1" ht="9" customHeight="1" x14ac:dyDescent="0.25">
      <c r="L4" s="3"/>
      <c r="N4" s="232"/>
      <c r="O4"/>
    </row>
    <row r="5" spans="1:20" s="2" customFormat="1" x14ac:dyDescent="0.25">
      <c r="L5" s="3" t="s">
        <v>75</v>
      </c>
      <c r="N5" s="248">
        <f>'Res (100kWh)'!$N$5:$O$5</f>
        <v>42118</v>
      </c>
      <c r="O5" s="248"/>
    </row>
    <row r="6" spans="1:20" s="2" customFormat="1" ht="15" customHeight="1" x14ac:dyDescent="0.25">
      <c r="N6" s="7"/>
      <c r="O6"/>
      <c r="P6"/>
    </row>
    <row r="7" spans="1:20" ht="7.5" customHeight="1" x14ac:dyDescent="0.25">
      <c r="L7"/>
      <c r="M7"/>
      <c r="N7"/>
      <c r="O7"/>
      <c r="P7"/>
    </row>
    <row r="8" spans="1:20" ht="18.75" customHeight="1" x14ac:dyDescent="0.25">
      <c r="B8" s="247" t="s">
        <v>1</v>
      </c>
      <c r="C8" s="247"/>
      <c r="D8" s="247"/>
      <c r="E8" s="247"/>
      <c r="F8" s="247"/>
      <c r="G8" s="247"/>
      <c r="H8" s="247"/>
      <c r="I8" s="247"/>
      <c r="J8" s="247"/>
      <c r="K8" s="247"/>
      <c r="L8" s="247"/>
      <c r="M8" s="247"/>
      <c r="N8" s="247"/>
      <c r="O8" s="247"/>
      <c r="P8"/>
    </row>
    <row r="9" spans="1:20" ht="18.75" customHeight="1" x14ac:dyDescent="0.25">
      <c r="B9" s="247" t="s">
        <v>2</v>
      </c>
      <c r="C9" s="247"/>
      <c r="D9" s="247"/>
      <c r="E9" s="247"/>
      <c r="F9" s="247"/>
      <c r="G9" s="247"/>
      <c r="H9" s="247"/>
      <c r="I9" s="247"/>
      <c r="J9" s="247"/>
      <c r="K9" s="247"/>
      <c r="L9" s="247"/>
      <c r="M9" s="247"/>
      <c r="N9" s="247"/>
      <c r="O9" s="247"/>
      <c r="P9"/>
    </row>
    <row r="10" spans="1:20" ht="7.5" customHeight="1" x14ac:dyDescent="0.25">
      <c r="L10"/>
      <c r="M10"/>
      <c r="N10"/>
      <c r="O10"/>
      <c r="P10"/>
    </row>
    <row r="11" spans="1:20" ht="7.5" customHeight="1" x14ac:dyDescent="0.25">
      <c r="L11"/>
      <c r="M11"/>
      <c r="N11"/>
      <c r="O11"/>
      <c r="P11"/>
    </row>
    <row r="12" spans="1:20" ht="15.75" x14ac:dyDescent="0.25">
      <c r="B12" s="8" t="s">
        <v>3</v>
      </c>
      <c r="D12" s="242" t="s">
        <v>59</v>
      </c>
      <c r="E12" s="242"/>
      <c r="F12" s="242"/>
      <c r="G12" s="242"/>
      <c r="H12" s="242"/>
      <c r="I12" s="242"/>
      <c r="J12" s="242"/>
      <c r="K12" s="242"/>
      <c r="L12" s="242"/>
      <c r="M12" s="242"/>
      <c r="N12" s="242"/>
      <c r="O12" s="242"/>
    </row>
    <row r="13" spans="1:20" ht="7.5" customHeight="1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5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x14ac:dyDescent="0.25">
      <c r="B16" s="12"/>
      <c r="D16" s="13" t="s">
        <v>6</v>
      </c>
      <c r="E16" s="13"/>
      <c r="F16" s="14">
        <v>500</v>
      </c>
      <c r="G16" s="13" t="s">
        <v>7</v>
      </c>
    </row>
    <row r="17" spans="2:15" x14ac:dyDescent="0.25">
      <c r="B17" s="12"/>
    </row>
    <row r="18" spans="2:15" x14ac:dyDescent="0.25">
      <c r="B18" s="12"/>
      <c r="D18" s="15"/>
      <c r="E18" s="15"/>
      <c r="F18" s="243" t="s">
        <v>8</v>
      </c>
      <c r="G18" s="244"/>
      <c r="H18" s="245"/>
      <c r="J18" s="243" t="s">
        <v>9</v>
      </c>
      <c r="K18" s="244"/>
      <c r="L18" s="245"/>
      <c r="N18" s="243" t="s">
        <v>10</v>
      </c>
      <c r="O18" s="245"/>
    </row>
    <row r="19" spans="2:15" x14ac:dyDescent="0.25">
      <c r="B19" s="12"/>
      <c r="D19" s="234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236" t="s">
        <v>15</v>
      </c>
      <c r="O19" s="238" t="s">
        <v>16</v>
      </c>
    </row>
    <row r="20" spans="2:15" x14ac:dyDescent="0.25">
      <c r="B20" s="12"/>
      <c r="D20" s="235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237"/>
      <c r="O20" s="239"/>
    </row>
    <row r="21" spans="2:15" ht="22.5" customHeight="1" x14ac:dyDescent="0.25">
      <c r="B21" s="22" t="s">
        <v>18</v>
      </c>
      <c r="C21" s="22"/>
      <c r="D21" s="23" t="s">
        <v>60</v>
      </c>
      <c r="E21" s="24"/>
      <c r="F21" s="174">
        <f>'[2]2014 Existing Rates'!$C$6</f>
        <v>14.64</v>
      </c>
      <c r="G21" s="26">
        <v>1</v>
      </c>
      <c r="H21" s="27">
        <f>G21*F21</f>
        <v>14.64</v>
      </c>
      <c r="I21" s="28"/>
      <c r="J21" s="173">
        <f>'[2]Rate Schedule '!$E$10</f>
        <v>16.73</v>
      </c>
      <c r="K21" s="30">
        <v>1</v>
      </c>
      <c r="L21" s="27">
        <f>K21*J21</f>
        <v>16.73</v>
      </c>
      <c r="M21" s="28"/>
      <c r="N21" s="31">
        <f>L21-H21</f>
        <v>2.09</v>
      </c>
      <c r="O21" s="32">
        <f>IF((H21)=0,"",(N21/H21))</f>
        <v>0.14275956284153005</v>
      </c>
    </row>
    <row r="22" spans="2:15" ht="36.75" customHeight="1" x14ac:dyDescent="0.25">
      <c r="B22" s="65" t="s">
        <v>80</v>
      </c>
      <c r="C22" s="22"/>
      <c r="D22" s="56" t="s">
        <v>60</v>
      </c>
      <c r="E22" s="24"/>
      <c r="F22" s="173">
        <v>1.33</v>
      </c>
      <c r="G22" s="26">
        <v>1</v>
      </c>
      <c r="H22" s="27">
        <f t="shared" ref="H22:H37" si="0">G22*F22</f>
        <v>1.33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-1.33</v>
      </c>
      <c r="O22" s="32">
        <f>IF((H22)=0,"",(N22/H22))</f>
        <v>-1</v>
      </c>
    </row>
    <row r="23" spans="2:15" ht="36.75" customHeight="1" x14ac:dyDescent="0.25">
      <c r="B23" s="175" t="s">
        <v>63</v>
      </c>
      <c r="C23" s="22"/>
      <c r="D23" s="56" t="s">
        <v>60</v>
      </c>
      <c r="E23" s="57"/>
      <c r="F23" s="173">
        <v>1.37</v>
      </c>
      <c r="G23" s="26">
        <v>1</v>
      </c>
      <c r="H23" s="27">
        <f t="shared" si="0"/>
        <v>1.37</v>
      </c>
      <c r="I23" s="28"/>
      <c r="J23" s="29"/>
      <c r="K23" s="30">
        <v>1</v>
      </c>
      <c r="L23" s="27">
        <f t="shared" ref="L23:L37" si="1">K23*J23</f>
        <v>0</v>
      </c>
      <c r="M23" s="28"/>
      <c r="N23" s="31">
        <f t="shared" ref="N23:N38" si="2">L23-H23</f>
        <v>-1.37</v>
      </c>
      <c r="O23" s="32">
        <f t="shared" ref="O23:O38" si="3">IF((H23)=0,"",(N23/H23))</f>
        <v>-1</v>
      </c>
    </row>
    <row r="24" spans="2:15" x14ac:dyDescent="0.25">
      <c r="B24" s="175" t="s">
        <v>64</v>
      </c>
      <c r="C24" s="22"/>
      <c r="D24" s="23" t="s">
        <v>60</v>
      </c>
      <c r="E24" s="24"/>
      <c r="F24" s="25"/>
      <c r="G24" s="26">
        <v>1</v>
      </c>
      <c r="H24" s="27">
        <f t="shared" si="0"/>
        <v>0</v>
      </c>
      <c r="I24" s="28"/>
      <c r="J24" s="173">
        <f>'[3]Stranded Meter Calc'!$B$103</f>
        <v>0.85</v>
      </c>
      <c r="K24" s="30">
        <v>1</v>
      </c>
      <c r="L24" s="27">
        <f t="shared" si="1"/>
        <v>0.85</v>
      </c>
      <c r="M24" s="28"/>
      <c r="N24" s="31">
        <f t="shared" si="2"/>
        <v>0.85</v>
      </c>
      <c r="O24" s="32" t="str">
        <f t="shared" si="3"/>
        <v/>
      </c>
    </row>
    <row r="25" spans="2:15" x14ac:dyDescent="0.25">
      <c r="B25" s="175" t="s">
        <v>88</v>
      </c>
      <c r="C25" s="22"/>
      <c r="D25" s="23" t="s">
        <v>61</v>
      </c>
      <c r="E25" s="24"/>
      <c r="F25" s="25">
        <v>0</v>
      </c>
      <c r="G25" s="26">
        <v>100</v>
      </c>
      <c r="H25" s="27">
        <v>0</v>
      </c>
      <c r="I25" s="28"/>
      <c r="J25" s="29">
        <v>1.9720869946651326E-4</v>
      </c>
      <c r="K25" s="30">
        <v>100</v>
      </c>
      <c r="L25" s="27">
        <v>1.9720869946651325E-2</v>
      </c>
      <c r="M25" s="28"/>
      <c r="N25" s="31">
        <v>1.9720869946651325E-2</v>
      </c>
      <c r="O25" s="32" t="s">
        <v>92</v>
      </c>
    </row>
    <row r="26" spans="2:15" x14ac:dyDescent="0.25">
      <c r="B26" s="46" t="s">
        <v>65</v>
      </c>
      <c r="C26" s="22"/>
      <c r="D26" s="23" t="s">
        <v>61</v>
      </c>
      <c r="E26" s="24"/>
      <c r="F26" s="25">
        <v>-2.0000000000000001E-4</v>
      </c>
      <c r="G26" s="26">
        <f>$F$16</f>
        <v>500</v>
      </c>
      <c r="H26" s="27">
        <f t="shared" si="0"/>
        <v>-0.1</v>
      </c>
      <c r="I26" s="28"/>
      <c r="J26" s="173"/>
      <c r="K26" s="26">
        <f>$F$16</f>
        <v>500</v>
      </c>
      <c r="L26" s="27">
        <f t="shared" si="1"/>
        <v>0</v>
      </c>
      <c r="M26" s="28"/>
      <c r="N26" s="31">
        <f t="shared" si="2"/>
        <v>0.1</v>
      </c>
      <c r="O26" s="32">
        <f t="shared" si="3"/>
        <v>-1</v>
      </c>
    </row>
    <row r="27" spans="2:15" x14ac:dyDescent="0.25">
      <c r="B27" s="46" t="s">
        <v>66</v>
      </c>
      <c r="C27" s="22"/>
      <c r="D27" s="23" t="s">
        <v>61</v>
      </c>
      <c r="E27" s="24"/>
      <c r="F27" s="25"/>
      <c r="G27" s="26">
        <f>$F$16</f>
        <v>500</v>
      </c>
      <c r="H27" s="27">
        <f t="shared" si="0"/>
        <v>0</v>
      </c>
      <c r="I27" s="28"/>
      <c r="J27" s="29">
        <f>'[4]6. Rate Rider Calculations'!$F$75</f>
        <v>-7.1014119500589033E-3</v>
      </c>
      <c r="K27" s="26">
        <f>$F$16</f>
        <v>500</v>
      </c>
      <c r="L27" s="27">
        <f t="shared" si="1"/>
        <v>-3.5507059750294516</v>
      </c>
      <c r="M27" s="28"/>
      <c r="N27" s="31">
        <f t="shared" si="2"/>
        <v>-3.5507059750294516</v>
      </c>
      <c r="O27" s="32" t="str">
        <f t="shared" si="3"/>
        <v/>
      </c>
    </row>
    <row r="28" spans="2:15" x14ac:dyDescent="0.25">
      <c r="B28" s="22" t="s">
        <v>19</v>
      </c>
      <c r="C28" s="22"/>
      <c r="D28" s="23" t="s">
        <v>61</v>
      </c>
      <c r="E28" s="24"/>
      <c r="F28" s="25">
        <f>'[2]2014 Existing Rates'!$E$6</f>
        <v>1.3100000000000001E-2</v>
      </c>
      <c r="G28" s="26">
        <f>$F$16</f>
        <v>500</v>
      </c>
      <c r="H28" s="27">
        <f t="shared" si="0"/>
        <v>6.5500000000000007</v>
      </c>
      <c r="I28" s="28"/>
      <c r="J28" s="29">
        <f>'[2]Rate Schedule '!$E$11</f>
        <v>1.4999999999999999E-2</v>
      </c>
      <c r="K28" s="26">
        <f>$F$16</f>
        <v>500</v>
      </c>
      <c r="L28" s="27">
        <f t="shared" si="1"/>
        <v>7.5</v>
      </c>
      <c r="M28" s="28"/>
      <c r="N28" s="31">
        <f t="shared" si="2"/>
        <v>0.94999999999999929</v>
      </c>
      <c r="O28" s="32">
        <f t="shared" si="3"/>
        <v>0.14503816793893118</v>
      </c>
    </row>
    <row r="29" spans="2:15" hidden="1" x14ac:dyDescent="0.25">
      <c r="B29" s="22" t="s">
        <v>20</v>
      </c>
      <c r="C29" s="22"/>
      <c r="D29" s="23"/>
      <c r="E29" s="24"/>
      <c r="F29" s="25"/>
      <c r="G29" s="26">
        <f>$F$16</f>
        <v>500</v>
      </c>
      <c r="H29" s="27">
        <f t="shared" si="0"/>
        <v>0</v>
      </c>
      <c r="I29" s="28"/>
      <c r="J29" s="29"/>
      <c r="K29" s="26">
        <f t="shared" ref="K29:K37" si="4">$F$16</f>
        <v>500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idden="1" x14ac:dyDescent="0.25">
      <c r="B30" s="22" t="s">
        <v>21</v>
      </c>
      <c r="C30" s="22"/>
      <c r="D30" s="23"/>
      <c r="E30" s="24"/>
      <c r="F30" s="25"/>
      <c r="G30" s="26">
        <f>$F$16</f>
        <v>500</v>
      </c>
      <c r="H30" s="27">
        <f t="shared" si="0"/>
        <v>0</v>
      </c>
      <c r="I30" s="28"/>
      <c r="J30" s="29"/>
      <c r="K30" s="26">
        <f t="shared" si="4"/>
        <v>500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idden="1" x14ac:dyDescent="0.25">
      <c r="B31" s="33"/>
      <c r="C31" s="22"/>
      <c r="D31" s="23"/>
      <c r="E31" s="24"/>
      <c r="F31" s="25"/>
      <c r="G31" s="26">
        <f t="shared" ref="G31:G37" si="5">$F$16</f>
        <v>500</v>
      </c>
      <c r="H31" s="27">
        <f t="shared" si="0"/>
        <v>0</v>
      </c>
      <c r="I31" s="28"/>
      <c r="J31" s="29"/>
      <c r="K31" s="26">
        <f t="shared" si="4"/>
        <v>500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idden="1" x14ac:dyDescent="0.25">
      <c r="B32" s="33"/>
      <c r="C32" s="22"/>
      <c r="D32" s="23"/>
      <c r="E32" s="24"/>
      <c r="F32" s="25"/>
      <c r="G32" s="26">
        <f t="shared" si="5"/>
        <v>500</v>
      </c>
      <c r="H32" s="27">
        <f t="shared" si="0"/>
        <v>0</v>
      </c>
      <c r="I32" s="28"/>
      <c r="J32" s="29"/>
      <c r="K32" s="26">
        <f t="shared" si="4"/>
        <v>500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idden="1" x14ac:dyDescent="0.25">
      <c r="B33" s="33"/>
      <c r="C33" s="22"/>
      <c r="D33" s="23"/>
      <c r="E33" s="24"/>
      <c r="F33" s="25"/>
      <c r="G33" s="26">
        <f t="shared" si="5"/>
        <v>500</v>
      </c>
      <c r="H33" s="27">
        <f t="shared" si="0"/>
        <v>0</v>
      </c>
      <c r="I33" s="28"/>
      <c r="J33" s="29"/>
      <c r="K33" s="26">
        <f t="shared" si="4"/>
        <v>500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idden="1" x14ac:dyDescent="0.25">
      <c r="B34" s="33"/>
      <c r="C34" s="22"/>
      <c r="D34" s="23"/>
      <c r="E34" s="24"/>
      <c r="F34" s="25"/>
      <c r="G34" s="26">
        <f t="shared" si="5"/>
        <v>500</v>
      </c>
      <c r="H34" s="27">
        <f t="shared" si="0"/>
        <v>0</v>
      </c>
      <c r="I34" s="28"/>
      <c r="J34" s="29"/>
      <c r="K34" s="26">
        <f t="shared" si="4"/>
        <v>500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idden="1" x14ac:dyDescent="0.25">
      <c r="B35" s="33"/>
      <c r="C35" s="22"/>
      <c r="D35" s="23"/>
      <c r="E35" s="24"/>
      <c r="F35" s="25"/>
      <c r="G35" s="26">
        <f t="shared" si="5"/>
        <v>500</v>
      </c>
      <c r="H35" s="27">
        <f t="shared" si="0"/>
        <v>0</v>
      </c>
      <c r="I35" s="28"/>
      <c r="J35" s="29"/>
      <c r="K35" s="26">
        <f t="shared" si="4"/>
        <v>500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idden="1" x14ac:dyDescent="0.25">
      <c r="B36" s="33"/>
      <c r="C36" s="22"/>
      <c r="D36" s="23"/>
      <c r="E36" s="24"/>
      <c r="F36" s="25"/>
      <c r="G36" s="26">
        <f t="shared" si="5"/>
        <v>500</v>
      </c>
      <c r="H36" s="27">
        <f t="shared" si="0"/>
        <v>0</v>
      </c>
      <c r="I36" s="28"/>
      <c r="J36" s="29"/>
      <c r="K36" s="26">
        <f t="shared" si="4"/>
        <v>500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hidden="1" x14ac:dyDescent="0.25">
      <c r="B37" s="33"/>
      <c r="C37" s="22"/>
      <c r="D37" s="23"/>
      <c r="E37" s="24"/>
      <c r="F37" s="25"/>
      <c r="G37" s="26">
        <f t="shared" si="5"/>
        <v>500</v>
      </c>
      <c r="H37" s="27">
        <f t="shared" si="0"/>
        <v>0</v>
      </c>
      <c r="I37" s="28"/>
      <c r="J37" s="29"/>
      <c r="K37" s="26">
        <f t="shared" si="4"/>
        <v>500</v>
      </c>
      <c r="L37" s="27">
        <f t="shared" si="1"/>
        <v>0</v>
      </c>
      <c r="M37" s="28"/>
      <c r="N37" s="31">
        <f t="shared" si="2"/>
        <v>0</v>
      </c>
      <c r="O37" s="32" t="str">
        <f t="shared" si="3"/>
        <v/>
      </c>
    </row>
    <row r="38" spans="2:15" s="34" customFormat="1" x14ac:dyDescent="0.25">
      <c r="B38" s="35" t="s">
        <v>22</v>
      </c>
      <c r="C38" s="36"/>
      <c r="D38" s="37"/>
      <c r="E38" s="36"/>
      <c r="F38" s="38"/>
      <c r="G38" s="39"/>
      <c r="H38" s="40">
        <f>SUM(H21:H37)</f>
        <v>23.79</v>
      </c>
      <c r="I38" s="41"/>
      <c r="J38" s="42"/>
      <c r="K38" s="43"/>
      <c r="L38" s="40">
        <f>SUM(L21:L37)</f>
        <v>21.549014894917203</v>
      </c>
      <c r="M38" s="41"/>
      <c r="N38" s="44">
        <f t="shared" si="2"/>
        <v>-2.240985105082796</v>
      </c>
      <c r="O38" s="45">
        <f t="shared" si="3"/>
        <v>-9.4198617279646749E-2</v>
      </c>
    </row>
    <row r="39" spans="2:15" hidden="1" x14ac:dyDescent="0.25">
      <c r="B39" s="175"/>
      <c r="C39" s="22"/>
      <c r="D39" s="56" t="s">
        <v>60</v>
      </c>
      <c r="E39" s="24"/>
      <c r="F39" s="25"/>
      <c r="G39" s="26">
        <v>1</v>
      </c>
      <c r="H39" s="27">
        <f>G39*F39</f>
        <v>0</v>
      </c>
      <c r="I39" s="28"/>
      <c r="J39" s="173"/>
      <c r="K39" s="30">
        <v>1</v>
      </c>
      <c r="L39" s="27">
        <f>K39*J39</f>
        <v>0</v>
      </c>
      <c r="M39" s="28"/>
      <c r="N39" s="31">
        <f>L39-H39</f>
        <v>0</v>
      </c>
      <c r="O39" s="32" t="str">
        <f>IF((H39)=0,"",(N39/H39))</f>
        <v/>
      </c>
    </row>
    <row r="40" spans="2:15" x14ac:dyDescent="0.25">
      <c r="B40" s="46" t="s">
        <v>23</v>
      </c>
      <c r="C40" s="22"/>
      <c r="D40" s="56" t="s">
        <v>61</v>
      </c>
      <c r="E40" s="57"/>
      <c r="F40" s="29">
        <v>-1.8E-3</v>
      </c>
      <c r="G40" s="26">
        <f>$F$16</f>
        <v>500</v>
      </c>
      <c r="H40" s="27">
        <f t="shared" ref="H40:H46" si="6">G40*F40</f>
        <v>-0.9</v>
      </c>
      <c r="I40" s="28"/>
      <c r="J40" s="29">
        <f>'[4]6. Rate Rider Calculations'!$F$20</f>
        <v>-1.0353326935341441E-3</v>
      </c>
      <c r="K40" s="26">
        <f>$F$16</f>
        <v>500</v>
      </c>
      <c r="L40" s="27">
        <f t="shared" ref="L40:L46" si="7">K40*J40</f>
        <v>-0.51766634676707202</v>
      </c>
      <c r="M40" s="28"/>
      <c r="N40" s="31">
        <f t="shared" ref="N40:N65" si="8">L40-H40</f>
        <v>0.38233365323292801</v>
      </c>
      <c r="O40" s="32">
        <f t="shared" ref="O40:O45" si="9">IF((H40)=0,"",(N40/H40))</f>
        <v>-0.42481517025880888</v>
      </c>
    </row>
    <row r="41" spans="2:15" hidden="1" x14ac:dyDescent="0.25">
      <c r="B41" s="46"/>
      <c r="C41" s="22"/>
      <c r="D41" s="23" t="s">
        <v>61</v>
      </c>
      <c r="E41" s="24"/>
      <c r="F41" s="25"/>
      <c r="G41" s="26">
        <f>$F$16</f>
        <v>500</v>
      </c>
      <c r="H41" s="27">
        <f t="shared" si="6"/>
        <v>0</v>
      </c>
      <c r="I41" s="47"/>
      <c r="J41" s="29"/>
      <c r="K41" s="26">
        <f>$F$16</f>
        <v>500</v>
      </c>
      <c r="L41" s="27">
        <f t="shared" si="7"/>
        <v>0</v>
      </c>
      <c r="M41" s="48"/>
      <c r="N41" s="31">
        <f t="shared" si="8"/>
        <v>0</v>
      </c>
      <c r="O41" s="32" t="str">
        <f t="shared" si="9"/>
        <v/>
      </c>
    </row>
    <row r="42" spans="2:15" hidden="1" x14ac:dyDescent="0.25">
      <c r="B42" s="46"/>
      <c r="C42" s="22"/>
      <c r="D42" s="23" t="s">
        <v>61</v>
      </c>
      <c r="E42" s="24"/>
      <c r="F42" s="25"/>
      <c r="G42" s="26">
        <f>$F$16</f>
        <v>500</v>
      </c>
      <c r="H42" s="27">
        <f t="shared" si="6"/>
        <v>0</v>
      </c>
      <c r="I42" s="47"/>
      <c r="J42" s="29"/>
      <c r="K42" s="26">
        <f>$F$16</f>
        <v>500</v>
      </c>
      <c r="L42" s="27">
        <f t="shared" si="7"/>
        <v>0</v>
      </c>
      <c r="M42" s="48"/>
      <c r="N42" s="31">
        <f t="shared" si="8"/>
        <v>0</v>
      </c>
      <c r="O42" s="32" t="str">
        <f t="shared" si="9"/>
        <v/>
      </c>
    </row>
    <row r="43" spans="2:15" hidden="1" x14ac:dyDescent="0.25">
      <c r="B43" s="46"/>
      <c r="C43" s="22"/>
      <c r="D43" s="23"/>
      <c r="E43" s="24"/>
      <c r="F43" s="25"/>
      <c r="G43" s="26">
        <f>$F$16</f>
        <v>500</v>
      </c>
      <c r="H43" s="27">
        <f t="shared" si="6"/>
        <v>0</v>
      </c>
      <c r="I43" s="47"/>
      <c r="J43" s="29"/>
      <c r="K43" s="26">
        <f>$F$16</f>
        <v>500</v>
      </c>
      <c r="L43" s="27">
        <f t="shared" si="7"/>
        <v>0</v>
      </c>
      <c r="M43" s="48"/>
      <c r="N43" s="31">
        <f t="shared" si="8"/>
        <v>0</v>
      </c>
      <c r="O43" s="32" t="str">
        <f t="shared" si="9"/>
        <v/>
      </c>
    </row>
    <row r="44" spans="2:15" x14ac:dyDescent="0.25">
      <c r="B44" s="49" t="s">
        <v>24</v>
      </c>
      <c r="C44" s="22"/>
      <c r="D44" s="23" t="s">
        <v>61</v>
      </c>
      <c r="E44" s="24"/>
      <c r="F44" s="195">
        <v>4.0000000000000003E-5</v>
      </c>
      <c r="G44" s="26">
        <f>$F$16</f>
        <v>500</v>
      </c>
      <c r="H44" s="27">
        <f t="shared" si="6"/>
        <v>0.02</v>
      </c>
      <c r="I44" s="28"/>
      <c r="J44" s="195">
        <f>'[2]Rate Schedule '!$E$12</f>
        <v>6.9999999999999994E-5</v>
      </c>
      <c r="K44" s="26">
        <f>$F$16</f>
        <v>500</v>
      </c>
      <c r="L44" s="27">
        <f t="shared" si="7"/>
        <v>3.4999999999999996E-2</v>
      </c>
      <c r="M44" s="28"/>
      <c r="N44" s="31">
        <f t="shared" si="8"/>
        <v>1.4999999999999996E-2</v>
      </c>
      <c r="O44" s="32">
        <f t="shared" si="9"/>
        <v>0.74999999999999978</v>
      </c>
    </row>
    <row r="45" spans="2:15" s="34" customFormat="1" x14ac:dyDescent="0.25">
      <c r="B45" s="180" t="s">
        <v>25</v>
      </c>
      <c r="C45" s="24"/>
      <c r="D45" s="181" t="s">
        <v>61</v>
      </c>
      <c r="E45" s="24"/>
      <c r="F45" s="182">
        <f>IF(ISBLANK(D14)=TRUE, 0, IF(D14="TOU", 0.64*$F$55+0.18*$F$56+0.18*$F$57, IF(AND(D14="non-TOU", G59&gt;0), F59,F58)))</f>
        <v>9.2460000000000001E-2</v>
      </c>
      <c r="G45" s="26">
        <f>$F$16*(1+$F$74)-$F$16</f>
        <v>24</v>
      </c>
      <c r="H45" s="183">
        <f t="shared" si="6"/>
        <v>2.2190400000000001</v>
      </c>
      <c r="I45" s="57"/>
      <c r="J45" s="184">
        <f>0.64*$F$55+0.18*$F$56+0.18*$F$57</f>
        <v>9.2460000000000001E-2</v>
      </c>
      <c r="K45" s="26">
        <f>$F$16*(1+$J$74)-$F$16</f>
        <v>23.549999999999955</v>
      </c>
      <c r="L45" s="183">
        <f t="shared" si="7"/>
        <v>2.1774329999999957</v>
      </c>
      <c r="M45" s="57"/>
      <c r="N45" s="185">
        <f t="shared" si="8"/>
        <v>-4.160700000000439E-2</v>
      </c>
      <c r="O45" s="186">
        <f t="shared" si="9"/>
        <v>-1.8750000000001977E-2</v>
      </c>
    </row>
    <row r="46" spans="2:15" x14ac:dyDescent="0.25">
      <c r="B46" s="49" t="s">
        <v>26</v>
      </c>
      <c r="C46" s="22"/>
      <c r="D46" s="23" t="s">
        <v>60</v>
      </c>
      <c r="E46" s="24"/>
      <c r="F46" s="177">
        <v>0.79</v>
      </c>
      <c r="G46" s="26">
        <v>1</v>
      </c>
      <c r="H46" s="27">
        <f t="shared" si="6"/>
        <v>0.79</v>
      </c>
      <c r="I46" s="28"/>
      <c r="J46" s="177">
        <v>0.79</v>
      </c>
      <c r="K46" s="26">
        <v>1</v>
      </c>
      <c r="L46" s="27">
        <f t="shared" si="7"/>
        <v>0.79</v>
      </c>
      <c r="M46" s="28"/>
      <c r="N46" s="31">
        <f t="shared" si="8"/>
        <v>0</v>
      </c>
      <c r="O46" s="32"/>
    </row>
    <row r="47" spans="2:15" ht="25.5" x14ac:dyDescent="0.25">
      <c r="B47" s="50" t="s">
        <v>27</v>
      </c>
      <c r="C47" s="51"/>
      <c r="D47" s="51"/>
      <c r="E47" s="51"/>
      <c r="F47" s="52"/>
      <c r="G47" s="53"/>
      <c r="H47" s="54">
        <f>SUM(H39:H46)+H38</f>
        <v>25.919039999999999</v>
      </c>
      <c r="I47" s="41"/>
      <c r="J47" s="53"/>
      <c r="K47" s="55"/>
      <c r="L47" s="54">
        <f>SUM(L39:L46)+L38</f>
        <v>24.033781548150127</v>
      </c>
      <c r="M47" s="41"/>
      <c r="N47" s="44">
        <f t="shared" si="8"/>
        <v>-1.8852584518498716</v>
      </c>
      <c r="O47" s="45">
        <f t="shared" ref="O47:O65" si="10">IF((H47)=0,"",(N47/H47))</f>
        <v>-7.2736430510152827E-2</v>
      </c>
    </row>
    <row r="48" spans="2:15" x14ac:dyDescent="0.25">
      <c r="B48" s="28" t="s">
        <v>28</v>
      </c>
      <c r="C48" s="28"/>
      <c r="D48" s="56" t="s">
        <v>61</v>
      </c>
      <c r="E48" s="57"/>
      <c r="F48" s="29">
        <v>7.3000000000000001E-3</v>
      </c>
      <c r="G48" s="58">
        <f>F16*(1+F74)</f>
        <v>524</v>
      </c>
      <c r="H48" s="27">
        <f>G48*F48</f>
        <v>3.8252000000000002</v>
      </c>
      <c r="I48" s="28"/>
      <c r="J48" s="29">
        <f>'[5]13. Final 2015 RTS Rates'!$F$26</f>
        <v>7.5166324038951132E-3</v>
      </c>
      <c r="K48" s="59">
        <f>F16*(1+J74)</f>
        <v>523.54999999999995</v>
      </c>
      <c r="L48" s="27">
        <f>K48*J48</f>
        <v>3.9353328950592861</v>
      </c>
      <c r="M48" s="28"/>
      <c r="N48" s="31">
        <f t="shared" si="8"/>
        <v>0.11013289505928592</v>
      </c>
      <c r="O48" s="32">
        <f t="shared" si="10"/>
        <v>2.8791408307875643E-2</v>
      </c>
    </row>
    <row r="49" spans="2:19" x14ac:dyDescent="0.25">
      <c r="B49" s="60" t="s">
        <v>29</v>
      </c>
      <c r="C49" s="28"/>
      <c r="D49" s="56" t="s">
        <v>61</v>
      </c>
      <c r="E49" s="57"/>
      <c r="F49" s="29">
        <v>5.7000000000000002E-3</v>
      </c>
      <c r="G49" s="58">
        <f>G48</f>
        <v>524</v>
      </c>
      <c r="H49" s="27">
        <f>G49*F49</f>
        <v>2.9868000000000001</v>
      </c>
      <c r="I49" s="28"/>
      <c r="J49" s="29">
        <f>'[5]13. Final 2015 RTS Rates'!$H$26</f>
        <v>5.857883813739073E-3</v>
      </c>
      <c r="K49" s="59">
        <f>K48</f>
        <v>523.54999999999995</v>
      </c>
      <c r="L49" s="27">
        <f>K49*J49</f>
        <v>3.0668950706830915</v>
      </c>
      <c r="M49" s="28"/>
      <c r="N49" s="31">
        <f t="shared" si="8"/>
        <v>8.0095070683091407E-2</v>
      </c>
      <c r="O49" s="32">
        <f t="shared" si="10"/>
        <v>2.6816348829212334E-2</v>
      </c>
    </row>
    <row r="50" spans="2:19" x14ac:dyDescent="0.25">
      <c r="B50" s="50" t="s">
        <v>30</v>
      </c>
      <c r="C50" s="36"/>
      <c r="D50" s="36"/>
      <c r="E50" s="36"/>
      <c r="F50" s="61"/>
      <c r="G50" s="53"/>
      <c r="H50" s="54">
        <f>SUM(H47:H49)</f>
        <v>32.73104</v>
      </c>
      <c r="I50" s="62"/>
      <c r="J50" s="63"/>
      <c r="K50" s="64"/>
      <c r="L50" s="54">
        <f>SUM(L47:L49)</f>
        <v>31.036009513892505</v>
      </c>
      <c r="M50" s="62"/>
      <c r="N50" s="44">
        <f t="shared" si="8"/>
        <v>-1.6950304861074947</v>
      </c>
      <c r="O50" s="45">
        <f t="shared" si="10"/>
        <v>-5.1786636969295655E-2</v>
      </c>
    </row>
    <row r="51" spans="2:19" x14ac:dyDescent="0.25">
      <c r="B51" s="65" t="s">
        <v>31</v>
      </c>
      <c r="C51" s="22"/>
      <c r="D51" s="23" t="s">
        <v>61</v>
      </c>
      <c r="E51" s="24"/>
      <c r="F51" s="66">
        <v>4.4000000000000003E-3</v>
      </c>
      <c r="G51" s="58">
        <f>G49</f>
        <v>524</v>
      </c>
      <c r="H51" s="67">
        <f t="shared" ref="H51:H57" si="11">G51*F51</f>
        <v>2.3056000000000001</v>
      </c>
      <c r="I51" s="28"/>
      <c r="J51" s="66">
        <v>4.4000000000000003E-3</v>
      </c>
      <c r="K51" s="59">
        <f>K49</f>
        <v>523.54999999999995</v>
      </c>
      <c r="L51" s="67">
        <f t="shared" ref="L51:L57" si="12">K51*J51</f>
        <v>2.30362</v>
      </c>
      <c r="M51" s="28"/>
      <c r="N51" s="31">
        <f t="shared" si="8"/>
        <v>-1.9800000000000928E-3</v>
      </c>
      <c r="O51" s="68">
        <f t="shared" si="10"/>
        <v>-8.5877862595423867E-4</v>
      </c>
    </row>
    <row r="52" spans="2:19" x14ac:dyDescent="0.25">
      <c r="B52" s="65" t="s">
        <v>32</v>
      </c>
      <c r="C52" s="22"/>
      <c r="D52" s="23" t="s">
        <v>61</v>
      </c>
      <c r="E52" s="24"/>
      <c r="F52" s="66">
        <v>1.2999999999999999E-3</v>
      </c>
      <c r="G52" s="58">
        <f>G49</f>
        <v>524</v>
      </c>
      <c r="H52" s="67">
        <f t="shared" si="11"/>
        <v>0.68119999999999992</v>
      </c>
      <c r="I52" s="28"/>
      <c r="J52" s="66">
        <v>1.2999999999999999E-3</v>
      </c>
      <c r="K52" s="59">
        <f>K49</f>
        <v>523.54999999999995</v>
      </c>
      <c r="L52" s="67">
        <f t="shared" si="12"/>
        <v>0.68061499999999986</v>
      </c>
      <c r="M52" s="28"/>
      <c r="N52" s="31">
        <f t="shared" si="8"/>
        <v>-5.850000000000577E-4</v>
      </c>
      <c r="O52" s="68">
        <f t="shared" si="10"/>
        <v>-8.5877862595428324E-4</v>
      </c>
    </row>
    <row r="53" spans="2:19" x14ac:dyDescent="0.25">
      <c r="B53" s="22" t="s">
        <v>33</v>
      </c>
      <c r="C53" s="22"/>
      <c r="D53" s="23" t="s">
        <v>60</v>
      </c>
      <c r="E53" s="24"/>
      <c r="F53" s="176">
        <v>0.25</v>
      </c>
      <c r="G53" s="26">
        <v>1</v>
      </c>
      <c r="H53" s="67">
        <f t="shared" si="11"/>
        <v>0.25</v>
      </c>
      <c r="I53" s="28"/>
      <c r="J53" s="176">
        <v>0.25</v>
      </c>
      <c r="K53" s="30">
        <v>1</v>
      </c>
      <c r="L53" s="67">
        <f t="shared" si="12"/>
        <v>0.25</v>
      </c>
      <c r="M53" s="28"/>
      <c r="N53" s="31">
        <f t="shared" si="8"/>
        <v>0</v>
      </c>
      <c r="O53" s="68">
        <f t="shared" si="10"/>
        <v>0</v>
      </c>
    </row>
    <row r="54" spans="2:19" x14ac:dyDescent="0.25">
      <c r="B54" s="22" t="s">
        <v>34</v>
      </c>
      <c r="C54" s="22"/>
      <c r="D54" s="23" t="s">
        <v>61</v>
      </c>
      <c r="E54" s="24"/>
      <c r="F54" s="66">
        <v>7.0000000000000001E-3</v>
      </c>
      <c r="G54" s="69">
        <f>F16</f>
        <v>500</v>
      </c>
      <c r="H54" s="67">
        <f t="shared" si="11"/>
        <v>3.5</v>
      </c>
      <c r="I54" s="28"/>
      <c r="J54" s="66">
        <v>7.0000000000000001E-3</v>
      </c>
      <c r="K54" s="70">
        <f>F16</f>
        <v>500</v>
      </c>
      <c r="L54" s="67">
        <f t="shared" si="12"/>
        <v>3.5</v>
      </c>
      <c r="M54" s="28"/>
      <c r="N54" s="31">
        <f t="shared" si="8"/>
        <v>0</v>
      </c>
      <c r="O54" s="68">
        <f t="shared" si="10"/>
        <v>0</v>
      </c>
    </row>
    <row r="55" spans="2:19" x14ac:dyDescent="0.25">
      <c r="B55" s="49" t="s">
        <v>35</v>
      </c>
      <c r="C55" s="22"/>
      <c r="D55" s="23" t="s">
        <v>61</v>
      </c>
      <c r="E55" s="24"/>
      <c r="F55" s="66">
        <v>7.4999999999999997E-2</v>
      </c>
      <c r="G55" s="69">
        <f>0.64*$F$16</f>
        <v>320</v>
      </c>
      <c r="H55" s="67">
        <f t="shared" si="11"/>
        <v>24</v>
      </c>
      <c r="I55" s="28"/>
      <c r="J55" s="66">
        <v>7.4999999999999997E-2</v>
      </c>
      <c r="K55" s="69">
        <f>G55</f>
        <v>320</v>
      </c>
      <c r="L55" s="67">
        <f t="shared" si="12"/>
        <v>24</v>
      </c>
      <c r="M55" s="28"/>
      <c r="N55" s="31">
        <f t="shared" si="8"/>
        <v>0</v>
      </c>
      <c r="O55" s="68">
        <f t="shared" si="10"/>
        <v>0</v>
      </c>
      <c r="S55" s="72"/>
    </row>
    <row r="56" spans="2:19" x14ac:dyDescent="0.25">
      <c r="B56" s="49" t="s">
        <v>36</v>
      </c>
      <c r="C56" s="22"/>
      <c r="D56" s="23" t="s">
        <v>61</v>
      </c>
      <c r="E56" s="24"/>
      <c r="F56" s="66">
        <v>0.112</v>
      </c>
      <c r="G56" s="69">
        <f>0.18*$F$16</f>
        <v>90</v>
      </c>
      <c r="H56" s="67">
        <f t="shared" si="11"/>
        <v>10.08</v>
      </c>
      <c r="I56" s="28"/>
      <c r="J56" s="66">
        <v>0.112</v>
      </c>
      <c r="K56" s="69">
        <f>G56</f>
        <v>90</v>
      </c>
      <c r="L56" s="67">
        <f t="shared" si="12"/>
        <v>10.08</v>
      </c>
      <c r="M56" s="28"/>
      <c r="N56" s="31">
        <f t="shared" si="8"/>
        <v>0</v>
      </c>
      <c r="O56" s="68">
        <f t="shared" si="10"/>
        <v>0</v>
      </c>
      <c r="S56" s="72"/>
    </row>
    <row r="57" spans="2:19" x14ac:dyDescent="0.25">
      <c r="B57" s="12" t="s">
        <v>37</v>
      </c>
      <c r="C57" s="22"/>
      <c r="D57" s="23" t="s">
        <v>61</v>
      </c>
      <c r="E57" s="24"/>
      <c r="F57" s="66">
        <v>0.13500000000000001</v>
      </c>
      <c r="G57" s="69">
        <f>0.18*$F$16</f>
        <v>90</v>
      </c>
      <c r="H57" s="67">
        <f t="shared" si="11"/>
        <v>12.15</v>
      </c>
      <c r="I57" s="28"/>
      <c r="J57" s="66">
        <v>0.13500000000000001</v>
      </c>
      <c r="K57" s="69">
        <f>G57</f>
        <v>90</v>
      </c>
      <c r="L57" s="67">
        <f t="shared" si="12"/>
        <v>12.15</v>
      </c>
      <c r="M57" s="28"/>
      <c r="N57" s="31">
        <f t="shared" si="8"/>
        <v>0</v>
      </c>
      <c r="O57" s="68">
        <f t="shared" si="10"/>
        <v>0</v>
      </c>
      <c r="S57" s="72"/>
    </row>
    <row r="58" spans="2:19" s="73" customFormat="1" x14ac:dyDescent="0.2">
      <c r="B58" s="74" t="s">
        <v>38</v>
      </c>
      <c r="C58" s="75"/>
      <c r="D58" s="76" t="s">
        <v>61</v>
      </c>
      <c r="E58" s="77"/>
      <c r="F58" s="66">
        <v>8.5999999999999993E-2</v>
      </c>
      <c r="G58" s="78">
        <f>IF(AND($T$1=1, F16&gt;=600), 600, IF(AND($T$1=1, AND(F16&lt;600, F16&gt;=0)), F16, IF(AND($T$1=2, F16&gt;=1000), 1000, IF(AND($T$1=2, AND(F16&lt;1000, F16&gt;=0)), F16))))</f>
        <v>500</v>
      </c>
      <c r="H58" s="67">
        <f>G58*F58</f>
        <v>43</v>
      </c>
      <c r="I58" s="79"/>
      <c r="J58" s="66">
        <v>8.5999999999999993E-2</v>
      </c>
      <c r="K58" s="78">
        <f>G58</f>
        <v>500</v>
      </c>
      <c r="L58" s="67">
        <f>K58*J58</f>
        <v>43</v>
      </c>
      <c r="M58" s="79"/>
      <c r="N58" s="80">
        <f t="shared" si="8"/>
        <v>0</v>
      </c>
      <c r="O58" s="68">
        <f t="shared" si="10"/>
        <v>0</v>
      </c>
    </row>
    <row r="59" spans="2:19" s="73" customFormat="1" ht="15.75" thickBot="1" x14ac:dyDescent="0.25">
      <c r="B59" s="74" t="s">
        <v>39</v>
      </c>
      <c r="C59" s="75"/>
      <c r="D59" s="76" t="s">
        <v>61</v>
      </c>
      <c r="E59" s="77"/>
      <c r="F59" s="66">
        <v>0.10100000000000001</v>
      </c>
      <c r="G59" s="78">
        <f>IF(AND($T$1=1, F16&gt;=600), F16-600, IF(AND($T$1=1, AND(F16&lt;600, F16&gt;=0)), 0, IF(AND($T$1=2, F16&gt;=1000), F16-1000, IF(AND($T$1=2, AND(F16&lt;1000, F16&gt;=0)), 0))))</f>
        <v>0</v>
      </c>
      <c r="H59" s="67">
        <f>G59*F59</f>
        <v>0</v>
      </c>
      <c r="I59" s="79"/>
      <c r="J59" s="66">
        <v>0.10100000000000001</v>
      </c>
      <c r="K59" s="78">
        <f>G59</f>
        <v>0</v>
      </c>
      <c r="L59" s="67">
        <f>K59*J59</f>
        <v>0</v>
      </c>
      <c r="M59" s="79"/>
      <c r="N59" s="80">
        <f t="shared" si="8"/>
        <v>0</v>
      </c>
      <c r="O59" s="68" t="str">
        <f t="shared" si="10"/>
        <v/>
      </c>
    </row>
    <row r="60" spans="2:19" ht="8.25" customHeight="1" thickBot="1" x14ac:dyDescent="0.3">
      <c r="B60" s="81"/>
      <c r="C60" s="82"/>
      <c r="D60" s="83"/>
      <c r="E60" s="82"/>
      <c r="F60" s="84"/>
      <c r="G60" s="85"/>
      <c r="H60" s="86"/>
      <c r="I60" s="87"/>
      <c r="J60" s="84"/>
      <c r="K60" s="88"/>
      <c r="L60" s="86"/>
      <c r="M60" s="87"/>
      <c r="N60" s="89"/>
      <c r="O60" s="90"/>
    </row>
    <row r="61" spans="2:19" x14ac:dyDescent="0.25">
      <c r="B61" s="91" t="s">
        <v>40</v>
      </c>
      <c r="C61" s="22"/>
      <c r="D61" s="22"/>
      <c r="E61" s="22"/>
      <c r="F61" s="92"/>
      <c r="G61" s="93"/>
      <c r="H61" s="94">
        <f>SUM(H51:H57,H50)</f>
        <v>85.697839999999999</v>
      </c>
      <c r="I61" s="95"/>
      <c r="J61" s="96"/>
      <c r="K61" s="96"/>
      <c r="L61" s="189">
        <f>SUM(L51:L57,L50)</f>
        <v>84.000244513892497</v>
      </c>
      <c r="M61" s="97"/>
      <c r="N61" s="98">
        <f>L61-H61</f>
        <v>-1.6975954861075024</v>
      </c>
      <c r="O61" s="99">
        <f>IF((H61)=0,"",(N61/H61))</f>
        <v>-1.980908137366709E-2</v>
      </c>
      <c r="S61" s="72"/>
    </row>
    <row r="62" spans="2:19" x14ac:dyDescent="0.25">
      <c r="B62" s="100" t="s">
        <v>41</v>
      </c>
      <c r="C62" s="22"/>
      <c r="D62" s="22"/>
      <c r="E62" s="22"/>
      <c r="F62" s="101">
        <v>0.13</v>
      </c>
      <c r="G62" s="102"/>
      <c r="H62" s="103">
        <f>H61*F62</f>
        <v>11.140719199999999</v>
      </c>
      <c r="I62" s="104"/>
      <c r="J62" s="105">
        <v>0.13</v>
      </c>
      <c r="K62" s="104"/>
      <c r="L62" s="106">
        <f>L61*J62</f>
        <v>10.920031786806025</v>
      </c>
      <c r="M62" s="107"/>
      <c r="N62" s="108">
        <f t="shared" si="8"/>
        <v>-0.22068741319397489</v>
      </c>
      <c r="O62" s="109">
        <f t="shared" si="10"/>
        <v>-1.9809081373667051E-2</v>
      </c>
      <c r="S62" s="72"/>
    </row>
    <row r="63" spans="2:19" x14ac:dyDescent="0.25">
      <c r="B63" s="110" t="s">
        <v>42</v>
      </c>
      <c r="C63" s="22"/>
      <c r="D63" s="22"/>
      <c r="E63" s="22"/>
      <c r="F63" s="111"/>
      <c r="G63" s="102"/>
      <c r="H63" s="103">
        <f>H61+H62</f>
        <v>96.838559199999992</v>
      </c>
      <c r="I63" s="104"/>
      <c r="J63" s="104"/>
      <c r="K63" s="104"/>
      <c r="L63" s="106">
        <f>L61+L62</f>
        <v>94.920276300698518</v>
      </c>
      <c r="M63" s="107"/>
      <c r="N63" s="108">
        <f t="shared" si="8"/>
        <v>-1.9182828993014738</v>
      </c>
      <c r="O63" s="109">
        <f t="shared" si="10"/>
        <v>-1.9809081373667051E-2</v>
      </c>
      <c r="S63" s="72"/>
    </row>
    <row r="64" spans="2:19" ht="15.75" customHeight="1" x14ac:dyDescent="0.25">
      <c r="B64" s="240" t="s">
        <v>43</v>
      </c>
      <c r="C64" s="240"/>
      <c r="D64" s="240"/>
      <c r="E64" s="22"/>
      <c r="F64" s="111"/>
      <c r="G64" s="102"/>
      <c r="H64" s="112">
        <f>ROUND(-H63*10%,2)</f>
        <v>-9.68</v>
      </c>
      <c r="I64" s="104"/>
      <c r="J64" s="104"/>
      <c r="K64" s="104"/>
      <c r="L64" s="113">
        <f>ROUND(-L63*10%,2)</f>
        <v>-9.49</v>
      </c>
      <c r="M64" s="107"/>
      <c r="N64" s="114">
        <f t="shared" si="8"/>
        <v>0.1899999999999995</v>
      </c>
      <c r="O64" s="115">
        <f t="shared" si="10"/>
        <v>-1.9628099173553668E-2</v>
      </c>
    </row>
    <row r="65" spans="1:15" ht="15.75" thickBot="1" x14ac:dyDescent="0.3">
      <c r="B65" s="246" t="s">
        <v>44</v>
      </c>
      <c r="C65" s="246"/>
      <c r="D65" s="246"/>
      <c r="E65" s="116"/>
      <c r="F65" s="117"/>
      <c r="G65" s="118"/>
      <c r="H65" s="119">
        <f>H63+H64</f>
        <v>87.158559199999985</v>
      </c>
      <c r="I65" s="120"/>
      <c r="J65" s="120"/>
      <c r="K65" s="120"/>
      <c r="L65" s="121">
        <f>L63+L64</f>
        <v>85.430276300698523</v>
      </c>
      <c r="M65" s="122"/>
      <c r="N65" s="123">
        <f t="shared" si="8"/>
        <v>-1.7282828993014618</v>
      </c>
      <c r="O65" s="124">
        <f t="shared" si="10"/>
        <v>-1.982918161067378E-2</v>
      </c>
    </row>
    <row r="66" spans="1:15" s="73" customFormat="1" ht="8.25" customHeight="1" thickBot="1" x14ac:dyDescent="0.25">
      <c r="B66" s="125"/>
      <c r="C66" s="126"/>
      <c r="D66" s="127"/>
      <c r="E66" s="126"/>
      <c r="F66" s="84"/>
      <c r="G66" s="128"/>
      <c r="H66" s="86"/>
      <c r="I66" s="129"/>
      <c r="J66" s="84"/>
      <c r="K66" s="130"/>
      <c r="L66" s="86"/>
      <c r="M66" s="129"/>
      <c r="N66" s="131"/>
      <c r="O66" s="90"/>
    </row>
    <row r="67" spans="1:15" s="73" customFormat="1" ht="12.75" x14ac:dyDescent="0.2">
      <c r="B67" s="132" t="s">
        <v>45</v>
      </c>
      <c r="C67" s="75"/>
      <c r="D67" s="75"/>
      <c r="E67" s="75"/>
      <c r="F67" s="133"/>
      <c r="G67" s="134"/>
      <c r="H67" s="135">
        <f>SUM(H58:H59,H50,H51:H54)</f>
        <v>82.46784000000001</v>
      </c>
      <c r="I67" s="136"/>
      <c r="J67" s="137"/>
      <c r="K67" s="137"/>
      <c r="L67" s="188">
        <f>SUM(L58:L59,L50,L51:L54)</f>
        <v>80.770244513892507</v>
      </c>
      <c r="M67" s="138"/>
      <c r="N67" s="139">
        <f>L67-H67</f>
        <v>-1.6975954861075024</v>
      </c>
      <c r="O67" s="99">
        <f>IF((H67)=0,"",(N67/H67))</f>
        <v>-2.0584939366758027E-2</v>
      </c>
    </row>
    <row r="68" spans="1:15" s="73" customFormat="1" ht="12.75" x14ac:dyDescent="0.2">
      <c r="B68" s="140" t="s">
        <v>41</v>
      </c>
      <c r="C68" s="75"/>
      <c r="D68" s="75"/>
      <c r="E68" s="75"/>
      <c r="F68" s="141">
        <v>0.13</v>
      </c>
      <c r="G68" s="134"/>
      <c r="H68" s="142">
        <f>H67*F68</f>
        <v>10.720819200000001</v>
      </c>
      <c r="I68" s="143"/>
      <c r="J68" s="144">
        <v>0.13</v>
      </c>
      <c r="K68" s="145"/>
      <c r="L68" s="146">
        <f>L67*J68</f>
        <v>10.500131786806026</v>
      </c>
      <c r="M68" s="147"/>
      <c r="N68" s="148">
        <f>L68-H68</f>
        <v>-0.22068741319397489</v>
      </c>
      <c r="O68" s="109">
        <f>IF((H68)=0,"",(N68/H68))</f>
        <v>-2.0584939366757989E-2</v>
      </c>
    </row>
    <row r="69" spans="1:15" s="73" customFormat="1" ht="12.75" x14ac:dyDescent="0.2">
      <c r="B69" s="149" t="s">
        <v>42</v>
      </c>
      <c r="C69" s="75"/>
      <c r="D69" s="75"/>
      <c r="E69" s="75"/>
      <c r="F69" s="150"/>
      <c r="G69" s="151"/>
      <c r="H69" s="142">
        <f>H67+H68</f>
        <v>93.188659200000018</v>
      </c>
      <c r="I69" s="143"/>
      <c r="J69" s="143"/>
      <c r="K69" s="143"/>
      <c r="L69" s="146">
        <f>L67+L68</f>
        <v>91.27037630069853</v>
      </c>
      <c r="M69" s="147"/>
      <c r="N69" s="148">
        <f>L69-H69</f>
        <v>-1.918282899301488</v>
      </c>
      <c r="O69" s="109">
        <f>IF((H69)=0,"",(N69/H69))</f>
        <v>-2.0584939366758134E-2</v>
      </c>
    </row>
    <row r="70" spans="1:15" s="73" customFormat="1" ht="15.75" customHeight="1" x14ac:dyDescent="0.2">
      <c r="B70" s="241" t="s">
        <v>43</v>
      </c>
      <c r="C70" s="241"/>
      <c r="D70" s="241"/>
      <c r="E70" s="75"/>
      <c r="F70" s="150"/>
      <c r="G70" s="151"/>
      <c r="H70" s="152">
        <f>ROUND(-H69*10%,2)</f>
        <v>-9.32</v>
      </c>
      <c r="I70" s="143"/>
      <c r="J70" s="143"/>
      <c r="K70" s="143"/>
      <c r="L70" s="153">
        <f>ROUND(-L69*10%,2)</f>
        <v>-9.1300000000000008</v>
      </c>
      <c r="M70" s="147"/>
      <c r="N70" s="154">
        <f>L70-H70</f>
        <v>0.1899999999999995</v>
      </c>
      <c r="O70" s="115">
        <f>IF((H70)=0,"",(N70/H70))</f>
        <v>-2.0386266094420548E-2</v>
      </c>
    </row>
    <row r="71" spans="1:15" s="73" customFormat="1" ht="13.5" thickBot="1" x14ac:dyDescent="0.25">
      <c r="B71" s="233" t="s">
        <v>46</v>
      </c>
      <c r="C71" s="233"/>
      <c r="D71" s="233"/>
      <c r="E71" s="155"/>
      <c r="F71" s="156"/>
      <c r="G71" s="157"/>
      <c r="H71" s="158">
        <f>SUM(H69:H70)</f>
        <v>83.868659200000025</v>
      </c>
      <c r="I71" s="159"/>
      <c r="J71" s="159"/>
      <c r="K71" s="159"/>
      <c r="L71" s="160">
        <f>SUM(L69:L70)</f>
        <v>82.140376300698534</v>
      </c>
      <c r="M71" s="161"/>
      <c r="N71" s="162">
        <f>L71-H71</f>
        <v>-1.7282828993014903</v>
      </c>
      <c r="O71" s="163">
        <f>IF((H71)=0,"",(N71/H71))</f>
        <v>-2.0607017159772239E-2</v>
      </c>
    </row>
    <row r="72" spans="1:15" s="73" customFormat="1" ht="8.25" customHeight="1" thickBot="1" x14ac:dyDescent="0.25">
      <c r="B72" s="125"/>
      <c r="C72" s="126"/>
      <c r="D72" s="127"/>
      <c r="E72" s="126"/>
      <c r="F72" s="164"/>
      <c r="G72" s="165"/>
      <c r="H72" s="166"/>
      <c r="I72" s="167"/>
      <c r="J72" s="164"/>
      <c r="K72" s="128"/>
      <c r="L72" s="168"/>
      <c r="M72" s="129"/>
      <c r="N72" s="169"/>
      <c r="O72" s="90"/>
    </row>
    <row r="73" spans="1:15" ht="10.5" customHeight="1" x14ac:dyDescent="0.25">
      <c r="L73" s="72"/>
    </row>
    <row r="74" spans="1:15" x14ac:dyDescent="0.25">
      <c r="B74" s="13" t="s">
        <v>47</v>
      </c>
      <c r="F74" s="170">
        <v>4.8000000000000001E-2</v>
      </c>
      <c r="J74" s="170">
        <f>'Res (100kWh)'!$J$74</f>
        <v>4.7100000000000003E-2</v>
      </c>
    </row>
    <row r="75" spans="1:15" ht="10.5" customHeight="1" x14ac:dyDescent="0.25"/>
    <row r="76" spans="1:15" x14ac:dyDescent="0.25">
      <c r="A76" s="171" t="s">
        <v>48</v>
      </c>
    </row>
    <row r="77" spans="1:15" ht="10.5" customHeight="1" x14ac:dyDescent="0.25"/>
    <row r="78" spans="1:15" x14ac:dyDescent="0.25">
      <c r="A78" s="7" t="s">
        <v>49</v>
      </c>
    </row>
    <row r="79" spans="1:15" x14ac:dyDescent="0.25">
      <c r="A79" s="7" t="s">
        <v>50</v>
      </c>
    </row>
    <row r="81" spans="1:2" x14ac:dyDescent="0.25">
      <c r="A81" s="12" t="s">
        <v>51</v>
      </c>
    </row>
    <row r="82" spans="1:2" x14ac:dyDescent="0.25">
      <c r="A82" s="12" t="s">
        <v>52</v>
      </c>
    </row>
    <row r="84" spans="1:2" x14ac:dyDescent="0.25">
      <c r="A84" s="7" t="s">
        <v>53</v>
      </c>
    </row>
    <row r="85" spans="1:2" x14ac:dyDescent="0.25">
      <c r="A85" s="7" t="s">
        <v>54</v>
      </c>
    </row>
    <row r="86" spans="1:2" x14ac:dyDescent="0.25">
      <c r="A86" s="7" t="s">
        <v>55</v>
      </c>
    </row>
    <row r="87" spans="1:2" x14ac:dyDescent="0.25">
      <c r="A87" s="7" t="s">
        <v>56</v>
      </c>
    </row>
    <row r="88" spans="1:2" x14ac:dyDescent="0.25">
      <c r="A88" s="7" t="s">
        <v>57</v>
      </c>
    </row>
    <row r="90" spans="1:2" x14ac:dyDescent="0.25">
      <c r="A90" s="172"/>
      <c r="B90" s="7" t="s">
        <v>58</v>
      </c>
    </row>
  </sheetData>
  <mergeCells count="17">
    <mergeCell ref="B64:D64"/>
    <mergeCell ref="B65:D65"/>
    <mergeCell ref="B70:D70"/>
    <mergeCell ref="B71:D71"/>
    <mergeCell ref="D12:O12"/>
    <mergeCell ref="F18:H18"/>
    <mergeCell ref="J18:L18"/>
    <mergeCell ref="N18:O18"/>
    <mergeCell ref="D19:D20"/>
    <mergeCell ref="N19:N20"/>
    <mergeCell ref="O19:O20"/>
    <mergeCell ref="B9:O9"/>
    <mergeCell ref="N1:O1"/>
    <mergeCell ref="N2:O2"/>
    <mergeCell ref="N3:O3"/>
    <mergeCell ref="N5:O5"/>
    <mergeCell ref="B8:O8"/>
  </mergeCells>
  <dataValidations count="4">
    <dataValidation type="list" allowBlank="1" showInputMessage="1" showErrorMessage="1" sqref="D14">
      <formula1>"TOU, non-TOU"</formula1>
    </dataValidation>
    <dataValidation type="list" allowBlank="1" showInputMessage="1" showErrorMessage="1" prompt="Select Charge Unit - monthly, per kWh, per kW" sqref="D48:D49 D66 D72 D51:D60 D39:D46 D21:D37">
      <formula1>"Monthly, per kWh, per kW"</formula1>
    </dataValidation>
    <dataValidation type="list" allowBlank="1" showInputMessage="1" showErrorMessage="1" sqref="E48:E49 E51:E60 E39:E46 E66 E72 E21:E24 E26:E37">
      <formula1>#REF!</formula1>
    </dataValidation>
    <dataValidation type="list" allowBlank="1" showInputMessage="1" showErrorMessage="1" sqref="E25">
      <formula1>#REF!</formula1>
    </dataValidation>
  </dataValidations>
  <pageMargins left="0.7" right="0.7" top="0.75" bottom="0.75" header="0.3" footer="0.3"/>
  <pageSetup scale="59" fitToHeight="0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>
    <tabColor theme="0" tint="-0.14999847407452621"/>
    <pageSetUpPr fitToPage="1"/>
  </sheetPr>
  <dimension ref="A1:T90"/>
  <sheetViews>
    <sheetView showGridLines="0" topLeftCell="A17" workbookViewId="0">
      <selection activeCell="N47" sqref="N47"/>
    </sheetView>
  </sheetViews>
  <sheetFormatPr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8.5703125" style="7" customWidth="1"/>
    <col min="8" max="8" width="9.7109375" style="7" customWidth="1"/>
    <col min="9" max="9" width="2.85546875" style="7" customWidth="1"/>
    <col min="10" max="10" width="12.140625" style="7" customWidth="1"/>
    <col min="11" max="11" width="8.5703125" style="7" customWidth="1"/>
    <col min="12" max="12" width="9.7109375" style="7" customWidth="1"/>
    <col min="13" max="13" width="2.85546875" style="7" customWidth="1"/>
    <col min="14" max="14" width="11.5703125" style="7" customWidth="1"/>
    <col min="15" max="15" width="10.85546875" style="7" bestFit="1" customWidth="1"/>
    <col min="16" max="16" width="6.4257812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248" t="str">
        <f>'Res (100kWh)'!$N$1:$O$1</f>
        <v>EB-2014-0099</v>
      </c>
      <c r="O1" s="248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94</v>
      </c>
      <c r="N2" s="249">
        <f>'Res (100kWh)'!$N$2:$O$2</f>
        <v>8</v>
      </c>
      <c r="O2" s="249"/>
    </row>
    <row r="3" spans="1:20" s="2" customFormat="1" ht="15" customHeight="1" x14ac:dyDescent="0.25">
      <c r="C3" s="6"/>
      <c r="D3" s="6"/>
      <c r="E3" s="6"/>
      <c r="L3" s="3" t="s">
        <v>95</v>
      </c>
      <c r="N3" s="248" t="str">
        <f>'Res (100kWh)'!$N$3:$O$3</f>
        <v>8-B</v>
      </c>
      <c r="O3" s="248"/>
    </row>
    <row r="4" spans="1:20" s="2" customFormat="1" ht="9" customHeight="1" x14ac:dyDescent="0.25">
      <c r="L4" s="3"/>
      <c r="N4" s="232"/>
      <c r="O4"/>
    </row>
    <row r="5" spans="1:20" s="2" customFormat="1" x14ac:dyDescent="0.25">
      <c r="L5" s="3" t="s">
        <v>75</v>
      </c>
      <c r="N5" s="248">
        <f>'Res (100kWh)'!$N$5:$O$5</f>
        <v>42118</v>
      </c>
      <c r="O5" s="248"/>
    </row>
    <row r="6" spans="1:20" s="2" customFormat="1" ht="15" customHeight="1" x14ac:dyDescent="0.25">
      <c r="N6" s="7"/>
      <c r="O6"/>
      <c r="P6"/>
    </row>
    <row r="7" spans="1:20" ht="7.5" customHeight="1" x14ac:dyDescent="0.25">
      <c r="L7"/>
      <c r="M7"/>
      <c r="N7"/>
      <c r="O7"/>
      <c r="P7"/>
    </row>
    <row r="8" spans="1:20" ht="18.75" customHeight="1" x14ac:dyDescent="0.25">
      <c r="B8" s="247" t="s">
        <v>1</v>
      </c>
      <c r="C8" s="247"/>
      <c r="D8" s="247"/>
      <c r="E8" s="247"/>
      <c r="F8" s="247"/>
      <c r="G8" s="247"/>
      <c r="H8" s="247"/>
      <c r="I8" s="247"/>
      <c r="J8" s="247"/>
      <c r="K8" s="247"/>
      <c r="L8" s="247"/>
      <c r="M8" s="247"/>
      <c r="N8" s="247"/>
      <c r="O8" s="247"/>
      <c r="P8"/>
    </row>
    <row r="9" spans="1:20" ht="18.75" customHeight="1" x14ac:dyDescent="0.25">
      <c r="B9" s="247" t="s">
        <v>2</v>
      </c>
      <c r="C9" s="247"/>
      <c r="D9" s="247"/>
      <c r="E9" s="247"/>
      <c r="F9" s="247"/>
      <c r="G9" s="247"/>
      <c r="H9" s="247"/>
      <c r="I9" s="247"/>
      <c r="J9" s="247"/>
      <c r="K9" s="247"/>
      <c r="L9" s="247"/>
      <c r="M9" s="247"/>
      <c r="N9" s="247"/>
      <c r="O9" s="247"/>
      <c r="P9"/>
    </row>
    <row r="10" spans="1:20" ht="7.5" customHeight="1" x14ac:dyDescent="0.25">
      <c r="L10"/>
      <c r="M10"/>
      <c r="N10"/>
      <c r="O10"/>
      <c r="P10"/>
    </row>
    <row r="11" spans="1:20" ht="7.5" customHeight="1" x14ac:dyDescent="0.25">
      <c r="L11"/>
      <c r="M11"/>
      <c r="N11"/>
      <c r="O11"/>
      <c r="P11"/>
    </row>
    <row r="12" spans="1:20" ht="15.75" x14ac:dyDescent="0.25">
      <c r="B12" s="8" t="s">
        <v>3</v>
      </c>
      <c r="D12" s="242" t="s">
        <v>59</v>
      </c>
      <c r="E12" s="242"/>
      <c r="F12" s="242"/>
      <c r="G12" s="242"/>
      <c r="H12" s="242"/>
      <c r="I12" s="242"/>
      <c r="J12" s="242"/>
      <c r="K12" s="242"/>
      <c r="L12" s="242"/>
      <c r="M12" s="242"/>
      <c r="N12" s="242"/>
      <c r="O12" s="242"/>
    </row>
    <row r="13" spans="1:20" ht="7.5" customHeight="1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5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x14ac:dyDescent="0.25">
      <c r="B16" s="12"/>
      <c r="D16" s="13" t="s">
        <v>6</v>
      </c>
      <c r="E16" s="13"/>
      <c r="F16" s="14">
        <v>800</v>
      </c>
      <c r="G16" s="13" t="s">
        <v>7</v>
      </c>
    </row>
    <row r="17" spans="2:15" x14ac:dyDescent="0.25">
      <c r="B17" s="12"/>
    </row>
    <row r="18" spans="2:15" x14ac:dyDescent="0.25">
      <c r="B18" s="12"/>
      <c r="D18" s="15"/>
      <c r="E18" s="15"/>
      <c r="F18" s="243" t="s">
        <v>8</v>
      </c>
      <c r="G18" s="244"/>
      <c r="H18" s="245"/>
      <c r="J18" s="243" t="s">
        <v>9</v>
      </c>
      <c r="K18" s="244"/>
      <c r="L18" s="245"/>
      <c r="N18" s="243" t="s">
        <v>10</v>
      </c>
      <c r="O18" s="245"/>
    </row>
    <row r="19" spans="2:15" x14ac:dyDescent="0.25">
      <c r="B19" s="12"/>
      <c r="D19" s="234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236" t="s">
        <v>15</v>
      </c>
      <c r="O19" s="238" t="s">
        <v>16</v>
      </c>
    </row>
    <row r="20" spans="2:15" x14ac:dyDescent="0.25">
      <c r="B20" s="12"/>
      <c r="D20" s="235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237"/>
      <c r="O20" s="239"/>
    </row>
    <row r="21" spans="2:15" ht="22.5" customHeight="1" x14ac:dyDescent="0.25">
      <c r="B21" s="22" t="s">
        <v>18</v>
      </c>
      <c r="C21" s="22"/>
      <c r="D21" s="23" t="s">
        <v>60</v>
      </c>
      <c r="E21" s="24"/>
      <c r="F21" s="174">
        <f>'[2]2014 Existing Rates'!$C$6</f>
        <v>14.64</v>
      </c>
      <c r="G21" s="26">
        <v>1</v>
      </c>
      <c r="H21" s="27">
        <f>G21*F21</f>
        <v>14.64</v>
      </c>
      <c r="I21" s="28"/>
      <c r="J21" s="173">
        <f>'[2]Rate Schedule '!$E$10</f>
        <v>16.73</v>
      </c>
      <c r="K21" s="30">
        <v>1</v>
      </c>
      <c r="L21" s="27">
        <f>K21*J21</f>
        <v>16.73</v>
      </c>
      <c r="M21" s="28"/>
      <c r="N21" s="31">
        <f>L21-H21</f>
        <v>2.09</v>
      </c>
      <c r="O21" s="32">
        <f>IF((H21)=0,"",(N21/H21))</f>
        <v>0.14275956284153005</v>
      </c>
    </row>
    <row r="22" spans="2:15" ht="36.75" customHeight="1" x14ac:dyDescent="0.25">
      <c r="B22" s="65" t="s">
        <v>80</v>
      </c>
      <c r="C22" s="22"/>
      <c r="D22" s="56" t="s">
        <v>60</v>
      </c>
      <c r="E22" s="24"/>
      <c r="F22" s="173">
        <v>1.33</v>
      </c>
      <c r="G22" s="26">
        <v>1</v>
      </c>
      <c r="H22" s="27">
        <f t="shared" ref="H22:H37" si="0">G22*F22</f>
        <v>1.33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-1.33</v>
      </c>
      <c r="O22" s="32">
        <f>IF((H22)=0,"",(N22/H22))</f>
        <v>-1</v>
      </c>
    </row>
    <row r="23" spans="2:15" ht="36.75" customHeight="1" x14ac:dyDescent="0.25">
      <c r="B23" s="175" t="s">
        <v>63</v>
      </c>
      <c r="C23" s="22"/>
      <c r="D23" s="56" t="s">
        <v>60</v>
      </c>
      <c r="E23" s="57"/>
      <c r="F23" s="173">
        <v>1.37</v>
      </c>
      <c r="G23" s="26">
        <v>1</v>
      </c>
      <c r="H23" s="27">
        <f t="shared" si="0"/>
        <v>1.37</v>
      </c>
      <c r="I23" s="28"/>
      <c r="J23" s="29"/>
      <c r="K23" s="30">
        <v>1</v>
      </c>
      <c r="L23" s="27">
        <f t="shared" ref="L23:L37" si="1">K23*J23</f>
        <v>0</v>
      </c>
      <c r="M23" s="28"/>
      <c r="N23" s="31">
        <f t="shared" ref="N23:N38" si="2">L23-H23</f>
        <v>-1.37</v>
      </c>
      <c r="O23" s="32">
        <f t="shared" ref="O23:O38" si="3">IF((H23)=0,"",(N23/H23))</f>
        <v>-1</v>
      </c>
    </row>
    <row r="24" spans="2:15" x14ac:dyDescent="0.25">
      <c r="B24" s="175" t="s">
        <v>64</v>
      </c>
      <c r="C24" s="22"/>
      <c r="D24" s="23" t="s">
        <v>60</v>
      </c>
      <c r="E24" s="24"/>
      <c r="F24" s="25"/>
      <c r="G24" s="26">
        <v>1</v>
      </c>
      <c r="H24" s="27">
        <f t="shared" si="0"/>
        <v>0</v>
      </c>
      <c r="I24" s="28"/>
      <c r="J24" s="173">
        <f>'[3]Stranded Meter Calc'!$B$103</f>
        <v>0.85</v>
      </c>
      <c r="K24" s="30">
        <v>1</v>
      </c>
      <c r="L24" s="27">
        <f t="shared" si="1"/>
        <v>0.85</v>
      </c>
      <c r="M24" s="28"/>
      <c r="N24" s="31">
        <f t="shared" si="2"/>
        <v>0.85</v>
      </c>
      <c r="O24" s="32" t="str">
        <f t="shared" si="3"/>
        <v/>
      </c>
    </row>
    <row r="25" spans="2:15" x14ac:dyDescent="0.25">
      <c r="B25" s="175" t="s">
        <v>88</v>
      </c>
      <c r="C25" s="22"/>
      <c r="D25" s="23" t="s">
        <v>61</v>
      </c>
      <c r="E25" s="24"/>
      <c r="F25" s="25">
        <v>0</v>
      </c>
      <c r="G25" s="26">
        <f t="shared" ref="G25:G30" si="4">$F$16</f>
        <v>800</v>
      </c>
      <c r="H25" s="27">
        <f t="shared" si="0"/>
        <v>0</v>
      </c>
      <c r="I25" s="28"/>
      <c r="J25" s="29">
        <f>'[4]6. Rate Rider Calculations'!$F$103</f>
        <v>2.0617237370664865E-4</v>
      </c>
      <c r="K25" s="26">
        <f>$F$16</f>
        <v>800</v>
      </c>
      <c r="L25" s="27">
        <f t="shared" ref="L25" si="5">K25*J25</f>
        <v>0.16493789896531891</v>
      </c>
      <c r="M25" s="28"/>
      <c r="N25" s="31">
        <f t="shared" ref="N25" si="6">L25-H25</f>
        <v>0.16493789896531891</v>
      </c>
      <c r="O25" s="32" t="str">
        <f t="shared" ref="O25" si="7">IF((H25)=0,"",(N25/H25))</f>
        <v/>
      </c>
    </row>
    <row r="26" spans="2:15" x14ac:dyDescent="0.25">
      <c r="B26" s="46" t="s">
        <v>65</v>
      </c>
      <c r="C26" s="22"/>
      <c r="D26" s="23" t="s">
        <v>61</v>
      </c>
      <c r="E26" s="24"/>
      <c r="F26" s="25">
        <v>-2.0000000000000001E-4</v>
      </c>
      <c r="G26" s="26">
        <f t="shared" si="4"/>
        <v>800</v>
      </c>
      <c r="H26" s="27">
        <f t="shared" si="0"/>
        <v>-0.16</v>
      </c>
      <c r="I26" s="28"/>
      <c r="J26" s="173"/>
      <c r="K26" s="26">
        <f>$F$16</f>
        <v>800</v>
      </c>
      <c r="L26" s="27">
        <f t="shared" si="1"/>
        <v>0</v>
      </c>
      <c r="M26" s="28"/>
      <c r="N26" s="31">
        <f t="shared" si="2"/>
        <v>0.16</v>
      </c>
      <c r="O26" s="32">
        <f t="shared" si="3"/>
        <v>-1</v>
      </c>
    </row>
    <row r="27" spans="2:15" x14ac:dyDescent="0.25">
      <c r="B27" s="46" t="s">
        <v>66</v>
      </c>
      <c r="C27" s="22"/>
      <c r="D27" s="23" t="s">
        <v>61</v>
      </c>
      <c r="E27" s="24"/>
      <c r="F27" s="25"/>
      <c r="G27" s="26">
        <f t="shared" si="4"/>
        <v>800</v>
      </c>
      <c r="H27" s="27">
        <f t="shared" si="0"/>
        <v>0</v>
      </c>
      <c r="I27" s="28"/>
      <c r="J27" s="29">
        <f>'[4]6. Rate Rider Calculations'!$F$75</f>
        <v>-7.1014119500589033E-3</v>
      </c>
      <c r="K27" s="26">
        <f>$F$16</f>
        <v>800</v>
      </c>
      <c r="L27" s="27">
        <f t="shared" si="1"/>
        <v>-5.6811295600471228</v>
      </c>
      <c r="M27" s="28"/>
      <c r="N27" s="31">
        <f t="shared" si="2"/>
        <v>-5.6811295600471228</v>
      </c>
      <c r="O27" s="32" t="str">
        <f t="shared" si="3"/>
        <v/>
      </c>
    </row>
    <row r="28" spans="2:15" x14ac:dyDescent="0.25">
      <c r="B28" s="22" t="s">
        <v>19</v>
      </c>
      <c r="C28" s="22"/>
      <c r="D28" s="23" t="s">
        <v>61</v>
      </c>
      <c r="E28" s="24"/>
      <c r="F28" s="25">
        <f>'[2]2014 Existing Rates'!$E$6</f>
        <v>1.3100000000000001E-2</v>
      </c>
      <c r="G28" s="26">
        <f t="shared" si="4"/>
        <v>800</v>
      </c>
      <c r="H28" s="27">
        <f t="shared" si="0"/>
        <v>10.48</v>
      </c>
      <c r="I28" s="28"/>
      <c r="J28" s="29">
        <f>'[2]Rate Schedule '!$E$11</f>
        <v>1.4999999999999999E-2</v>
      </c>
      <c r="K28" s="26">
        <f>$F$16</f>
        <v>800</v>
      </c>
      <c r="L28" s="27">
        <f t="shared" si="1"/>
        <v>12</v>
      </c>
      <c r="M28" s="28"/>
      <c r="N28" s="31">
        <f t="shared" si="2"/>
        <v>1.5199999999999996</v>
      </c>
      <c r="O28" s="32">
        <f t="shared" si="3"/>
        <v>0.14503816793893126</v>
      </c>
    </row>
    <row r="29" spans="2:15" hidden="1" x14ac:dyDescent="0.25">
      <c r="B29" s="22" t="s">
        <v>20</v>
      </c>
      <c r="C29" s="22"/>
      <c r="D29" s="23"/>
      <c r="E29" s="24"/>
      <c r="F29" s="25"/>
      <c r="G29" s="26">
        <f t="shared" si="4"/>
        <v>800</v>
      </c>
      <c r="H29" s="27">
        <f t="shared" si="0"/>
        <v>0</v>
      </c>
      <c r="I29" s="28"/>
      <c r="J29" s="29"/>
      <c r="K29" s="26">
        <f t="shared" ref="K29:K37" si="8">$F$16</f>
        <v>800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idden="1" x14ac:dyDescent="0.25">
      <c r="B30" s="22" t="s">
        <v>21</v>
      </c>
      <c r="C30" s="22"/>
      <c r="D30" s="23"/>
      <c r="E30" s="24"/>
      <c r="F30" s="25"/>
      <c r="G30" s="26">
        <f t="shared" si="4"/>
        <v>800</v>
      </c>
      <c r="H30" s="27">
        <f t="shared" si="0"/>
        <v>0</v>
      </c>
      <c r="I30" s="28"/>
      <c r="J30" s="29"/>
      <c r="K30" s="26">
        <f t="shared" si="8"/>
        <v>800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idden="1" x14ac:dyDescent="0.25">
      <c r="B31" s="33"/>
      <c r="C31" s="22"/>
      <c r="D31" s="23"/>
      <c r="E31" s="24"/>
      <c r="F31" s="25"/>
      <c r="G31" s="26">
        <f t="shared" ref="G31:G37" si="9">$F$16</f>
        <v>800</v>
      </c>
      <c r="H31" s="27">
        <f t="shared" si="0"/>
        <v>0</v>
      </c>
      <c r="I31" s="28"/>
      <c r="J31" s="29"/>
      <c r="K31" s="26">
        <f t="shared" si="8"/>
        <v>800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idden="1" x14ac:dyDescent="0.25">
      <c r="B32" s="33"/>
      <c r="C32" s="22"/>
      <c r="D32" s="23"/>
      <c r="E32" s="24"/>
      <c r="F32" s="25"/>
      <c r="G32" s="26">
        <f t="shared" si="9"/>
        <v>800</v>
      </c>
      <c r="H32" s="27">
        <f t="shared" si="0"/>
        <v>0</v>
      </c>
      <c r="I32" s="28"/>
      <c r="J32" s="29"/>
      <c r="K32" s="26">
        <f t="shared" si="8"/>
        <v>800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idden="1" x14ac:dyDescent="0.25">
      <c r="B33" s="33"/>
      <c r="C33" s="22"/>
      <c r="D33" s="23"/>
      <c r="E33" s="24"/>
      <c r="F33" s="25"/>
      <c r="G33" s="26">
        <f t="shared" si="9"/>
        <v>800</v>
      </c>
      <c r="H33" s="27">
        <f t="shared" si="0"/>
        <v>0</v>
      </c>
      <c r="I33" s="28"/>
      <c r="J33" s="29"/>
      <c r="K33" s="26">
        <f t="shared" si="8"/>
        <v>800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idden="1" x14ac:dyDescent="0.25">
      <c r="B34" s="33"/>
      <c r="C34" s="22"/>
      <c r="D34" s="23"/>
      <c r="E34" s="24"/>
      <c r="F34" s="25"/>
      <c r="G34" s="26">
        <f t="shared" si="9"/>
        <v>800</v>
      </c>
      <c r="H34" s="27">
        <f t="shared" si="0"/>
        <v>0</v>
      </c>
      <c r="I34" s="28"/>
      <c r="J34" s="29"/>
      <c r="K34" s="26">
        <f t="shared" si="8"/>
        <v>800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idden="1" x14ac:dyDescent="0.25">
      <c r="B35" s="33"/>
      <c r="C35" s="22"/>
      <c r="D35" s="23"/>
      <c r="E35" s="24"/>
      <c r="F35" s="25"/>
      <c r="G35" s="26">
        <f t="shared" si="9"/>
        <v>800</v>
      </c>
      <c r="H35" s="27">
        <f t="shared" si="0"/>
        <v>0</v>
      </c>
      <c r="I35" s="28"/>
      <c r="J35" s="29"/>
      <c r="K35" s="26">
        <f t="shared" si="8"/>
        <v>800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idden="1" x14ac:dyDescent="0.25">
      <c r="B36" s="33"/>
      <c r="C36" s="22"/>
      <c r="D36" s="23"/>
      <c r="E36" s="24"/>
      <c r="F36" s="25"/>
      <c r="G36" s="26">
        <f t="shared" si="9"/>
        <v>800</v>
      </c>
      <c r="H36" s="27">
        <f t="shared" si="0"/>
        <v>0</v>
      </c>
      <c r="I36" s="28"/>
      <c r="J36" s="29"/>
      <c r="K36" s="26">
        <f t="shared" si="8"/>
        <v>800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hidden="1" x14ac:dyDescent="0.25">
      <c r="B37" s="33"/>
      <c r="C37" s="22"/>
      <c r="D37" s="23"/>
      <c r="E37" s="24"/>
      <c r="F37" s="25"/>
      <c r="G37" s="26">
        <f t="shared" si="9"/>
        <v>800</v>
      </c>
      <c r="H37" s="27">
        <f t="shared" si="0"/>
        <v>0</v>
      </c>
      <c r="I37" s="28"/>
      <c r="J37" s="29"/>
      <c r="K37" s="26">
        <f t="shared" si="8"/>
        <v>800</v>
      </c>
      <c r="L37" s="27">
        <f t="shared" si="1"/>
        <v>0</v>
      </c>
      <c r="M37" s="28"/>
      <c r="N37" s="31">
        <f t="shared" si="2"/>
        <v>0</v>
      </c>
      <c r="O37" s="32" t="str">
        <f t="shared" si="3"/>
        <v/>
      </c>
    </row>
    <row r="38" spans="2:15" s="34" customFormat="1" x14ac:dyDescent="0.25">
      <c r="B38" s="35" t="s">
        <v>22</v>
      </c>
      <c r="C38" s="36"/>
      <c r="D38" s="37"/>
      <c r="E38" s="36"/>
      <c r="F38" s="38"/>
      <c r="G38" s="39"/>
      <c r="H38" s="40">
        <f>SUM(H21:H37)</f>
        <v>27.66</v>
      </c>
      <c r="I38" s="41"/>
      <c r="J38" s="42"/>
      <c r="K38" s="43"/>
      <c r="L38" s="40">
        <f>SUM(L21:L37)</f>
        <v>24.0638083389182</v>
      </c>
      <c r="M38" s="41"/>
      <c r="N38" s="44">
        <f t="shared" si="2"/>
        <v>-3.5961916610818001</v>
      </c>
      <c r="O38" s="45">
        <f t="shared" si="3"/>
        <v>-0.13001415983665221</v>
      </c>
    </row>
    <row r="39" spans="2:15" hidden="1" x14ac:dyDescent="0.25">
      <c r="B39" s="175"/>
      <c r="C39" s="22"/>
      <c r="D39" s="56" t="s">
        <v>60</v>
      </c>
      <c r="E39" s="24"/>
      <c r="F39" s="25"/>
      <c r="G39" s="26">
        <v>1</v>
      </c>
      <c r="H39" s="27">
        <f>G39*F39</f>
        <v>0</v>
      </c>
      <c r="I39" s="28"/>
      <c r="J39" s="173"/>
      <c r="K39" s="30">
        <v>1</v>
      </c>
      <c r="L39" s="27">
        <f>K39*J39</f>
        <v>0</v>
      </c>
      <c r="M39" s="28"/>
      <c r="N39" s="31">
        <f>L39-H39</f>
        <v>0</v>
      </c>
      <c r="O39" s="32" t="str">
        <f>IF((H39)=0,"",(N39/H39))</f>
        <v/>
      </c>
    </row>
    <row r="40" spans="2:15" x14ac:dyDescent="0.25">
      <c r="B40" s="46" t="s">
        <v>23</v>
      </c>
      <c r="C40" s="22"/>
      <c r="D40" s="56" t="s">
        <v>61</v>
      </c>
      <c r="E40" s="57"/>
      <c r="F40" s="29">
        <v>-1.8E-3</v>
      </c>
      <c r="G40" s="26">
        <f>$F$16</f>
        <v>800</v>
      </c>
      <c r="H40" s="27">
        <f t="shared" ref="H40:H46" si="10">G40*F40</f>
        <v>-1.44</v>
      </c>
      <c r="I40" s="28"/>
      <c r="J40" s="29">
        <f>'[4]6. Rate Rider Calculations'!$F$20</f>
        <v>-1.0353326935341441E-3</v>
      </c>
      <c r="K40" s="26">
        <f>$F$16</f>
        <v>800</v>
      </c>
      <c r="L40" s="27">
        <f t="shared" ref="L40:L46" si="11">K40*J40</f>
        <v>-0.82826615482731525</v>
      </c>
      <c r="M40" s="28"/>
      <c r="N40" s="31">
        <f t="shared" ref="N40:N65" si="12">L40-H40</f>
        <v>0.6117338451726847</v>
      </c>
      <c r="O40" s="32">
        <f t="shared" ref="O40:O45" si="13">IF((H40)=0,"",(N40/H40))</f>
        <v>-0.42481517025880883</v>
      </c>
    </row>
    <row r="41" spans="2:15" hidden="1" x14ac:dyDescent="0.25">
      <c r="B41" s="46"/>
      <c r="C41" s="22"/>
      <c r="D41" s="23" t="s">
        <v>61</v>
      </c>
      <c r="E41" s="24"/>
      <c r="F41" s="25"/>
      <c r="G41" s="26">
        <f>$F$16</f>
        <v>800</v>
      </c>
      <c r="H41" s="27">
        <f t="shared" si="10"/>
        <v>0</v>
      </c>
      <c r="I41" s="47"/>
      <c r="J41" s="29"/>
      <c r="K41" s="26">
        <f>$F$16</f>
        <v>800</v>
      </c>
      <c r="L41" s="27">
        <f t="shared" si="11"/>
        <v>0</v>
      </c>
      <c r="M41" s="48"/>
      <c r="N41" s="31">
        <f t="shared" si="12"/>
        <v>0</v>
      </c>
      <c r="O41" s="32" t="str">
        <f t="shared" si="13"/>
        <v/>
      </c>
    </row>
    <row r="42" spans="2:15" hidden="1" x14ac:dyDescent="0.25">
      <c r="B42" s="46"/>
      <c r="C42" s="22"/>
      <c r="D42" s="23" t="s">
        <v>61</v>
      </c>
      <c r="E42" s="24"/>
      <c r="F42" s="25"/>
      <c r="G42" s="26">
        <f>$F$16</f>
        <v>800</v>
      </c>
      <c r="H42" s="27">
        <f t="shared" si="10"/>
        <v>0</v>
      </c>
      <c r="I42" s="47"/>
      <c r="J42" s="29"/>
      <c r="K42" s="26">
        <f>$F$16</f>
        <v>800</v>
      </c>
      <c r="L42" s="27">
        <f t="shared" si="11"/>
        <v>0</v>
      </c>
      <c r="M42" s="48"/>
      <c r="N42" s="31">
        <f t="shared" si="12"/>
        <v>0</v>
      </c>
      <c r="O42" s="32" t="str">
        <f t="shared" si="13"/>
        <v/>
      </c>
    </row>
    <row r="43" spans="2:15" hidden="1" x14ac:dyDescent="0.25">
      <c r="B43" s="46"/>
      <c r="C43" s="22"/>
      <c r="D43" s="23"/>
      <c r="E43" s="24"/>
      <c r="F43" s="25"/>
      <c r="G43" s="26">
        <f>$F$16</f>
        <v>800</v>
      </c>
      <c r="H43" s="27">
        <f t="shared" si="10"/>
        <v>0</v>
      </c>
      <c r="I43" s="47"/>
      <c r="J43" s="29"/>
      <c r="K43" s="26">
        <f>$F$16</f>
        <v>800</v>
      </c>
      <c r="L43" s="27">
        <f t="shared" si="11"/>
        <v>0</v>
      </c>
      <c r="M43" s="48"/>
      <c r="N43" s="31">
        <f t="shared" si="12"/>
        <v>0</v>
      </c>
      <c r="O43" s="32" t="str">
        <f t="shared" si="13"/>
        <v/>
      </c>
    </row>
    <row r="44" spans="2:15" x14ac:dyDescent="0.25">
      <c r="B44" s="49" t="s">
        <v>24</v>
      </c>
      <c r="C44" s="22"/>
      <c r="D44" s="23" t="s">
        <v>61</v>
      </c>
      <c r="E44" s="24"/>
      <c r="F44" s="195">
        <v>4.0000000000000003E-5</v>
      </c>
      <c r="G44" s="26">
        <f>$F$16</f>
        <v>800</v>
      </c>
      <c r="H44" s="27">
        <f t="shared" si="10"/>
        <v>3.2000000000000001E-2</v>
      </c>
      <c r="I44" s="28"/>
      <c r="J44" s="195">
        <f>'[2]Rate Schedule '!$E$12</f>
        <v>6.9999999999999994E-5</v>
      </c>
      <c r="K44" s="26">
        <f>$F$16</f>
        <v>800</v>
      </c>
      <c r="L44" s="27">
        <f t="shared" si="11"/>
        <v>5.5999999999999994E-2</v>
      </c>
      <c r="M44" s="28"/>
      <c r="N44" s="31">
        <f t="shared" si="12"/>
        <v>2.3999999999999994E-2</v>
      </c>
      <c r="O44" s="32">
        <f t="shared" si="13"/>
        <v>0.74999999999999978</v>
      </c>
    </row>
    <row r="45" spans="2:15" s="34" customFormat="1" x14ac:dyDescent="0.25">
      <c r="B45" s="180" t="s">
        <v>25</v>
      </c>
      <c r="C45" s="24"/>
      <c r="D45" s="181" t="s">
        <v>61</v>
      </c>
      <c r="E45" s="24"/>
      <c r="F45" s="182">
        <f>IF(ISBLANK(D14)=TRUE, 0, IF(D14="TOU", 0.64*$F$55+0.18*$F$56+0.18*$F$57, IF(AND(D14="non-TOU", G59&gt;0), F59,F58)))</f>
        <v>9.2460000000000001E-2</v>
      </c>
      <c r="G45" s="26">
        <f>$F$16*(1+$F$74)-$F$16</f>
        <v>38.400000000000091</v>
      </c>
      <c r="H45" s="183">
        <f t="shared" si="10"/>
        <v>3.5504640000000083</v>
      </c>
      <c r="I45" s="57"/>
      <c r="J45" s="184">
        <f>0.64*$F$55+0.18*$F$56+0.18*$F$57</f>
        <v>9.2460000000000001E-2</v>
      </c>
      <c r="K45" s="26">
        <f>$F$16*(1+$J$74)-$F$16</f>
        <v>37.67999999999995</v>
      </c>
      <c r="L45" s="183">
        <f t="shared" si="11"/>
        <v>3.4838927999999956</v>
      </c>
      <c r="M45" s="57"/>
      <c r="N45" s="185">
        <f t="shared" si="12"/>
        <v>-6.6571200000012709E-2</v>
      </c>
      <c r="O45" s="186">
        <f t="shared" si="13"/>
        <v>-1.8750000000003535E-2</v>
      </c>
    </row>
    <row r="46" spans="2:15" x14ac:dyDescent="0.25">
      <c r="B46" s="49" t="s">
        <v>26</v>
      </c>
      <c r="C46" s="22"/>
      <c r="D46" s="23" t="s">
        <v>60</v>
      </c>
      <c r="E46" s="24"/>
      <c r="F46" s="177">
        <v>0.79</v>
      </c>
      <c r="G46" s="26">
        <v>1</v>
      </c>
      <c r="H46" s="27">
        <f t="shared" si="10"/>
        <v>0.79</v>
      </c>
      <c r="I46" s="28"/>
      <c r="J46" s="177">
        <v>0.79</v>
      </c>
      <c r="K46" s="26">
        <v>1</v>
      </c>
      <c r="L46" s="27">
        <f t="shared" si="11"/>
        <v>0.79</v>
      </c>
      <c r="M46" s="28"/>
      <c r="N46" s="31">
        <f t="shared" si="12"/>
        <v>0</v>
      </c>
      <c r="O46" s="32"/>
    </row>
    <row r="47" spans="2:15" ht="25.5" x14ac:dyDescent="0.25">
      <c r="B47" s="50" t="s">
        <v>27</v>
      </c>
      <c r="C47" s="51"/>
      <c r="D47" s="51"/>
      <c r="E47" s="51"/>
      <c r="F47" s="52"/>
      <c r="G47" s="53"/>
      <c r="H47" s="54">
        <f>SUM(H39:H46)+H38</f>
        <v>30.592464000000007</v>
      </c>
      <c r="I47" s="41"/>
      <c r="J47" s="53"/>
      <c r="K47" s="55"/>
      <c r="L47" s="54">
        <f>SUM(L39:L46)+L38</f>
        <v>27.565434984090881</v>
      </c>
      <c r="M47" s="41"/>
      <c r="N47" s="44">
        <f t="shared" si="12"/>
        <v>-3.0270290159091253</v>
      </c>
      <c r="O47" s="45">
        <f t="shared" ref="O47:O65" si="14">IF((H47)=0,"",(N47/H47))</f>
        <v>-9.8946884955364328E-2</v>
      </c>
    </row>
    <row r="48" spans="2:15" x14ac:dyDescent="0.25">
      <c r="B48" s="28" t="s">
        <v>28</v>
      </c>
      <c r="C48" s="28"/>
      <c r="D48" s="56" t="s">
        <v>61</v>
      </c>
      <c r="E48" s="57"/>
      <c r="F48" s="29">
        <v>7.3000000000000001E-3</v>
      </c>
      <c r="G48" s="58">
        <f>F16*(1+F74)</f>
        <v>838.40000000000009</v>
      </c>
      <c r="H48" s="27">
        <f>G48*F48</f>
        <v>6.1203200000000004</v>
      </c>
      <c r="I48" s="28"/>
      <c r="J48" s="29">
        <f>'[5]13. Final 2015 RTS Rates'!$F$26</f>
        <v>7.5166324038951132E-3</v>
      </c>
      <c r="K48" s="59">
        <f>F16*(1+J74)</f>
        <v>837.68</v>
      </c>
      <c r="L48" s="27">
        <f>K48*J48</f>
        <v>6.2965326320948583</v>
      </c>
      <c r="M48" s="28"/>
      <c r="N48" s="31">
        <f t="shared" si="12"/>
        <v>0.17621263209485782</v>
      </c>
      <c r="O48" s="32">
        <f t="shared" si="14"/>
        <v>2.8791408307875702E-2</v>
      </c>
    </row>
    <row r="49" spans="2:19" x14ac:dyDescent="0.25">
      <c r="B49" s="60" t="s">
        <v>29</v>
      </c>
      <c r="C49" s="28"/>
      <c r="D49" s="56" t="s">
        <v>61</v>
      </c>
      <c r="E49" s="57"/>
      <c r="F49" s="29">
        <v>5.7000000000000002E-3</v>
      </c>
      <c r="G49" s="58">
        <f>G48</f>
        <v>838.40000000000009</v>
      </c>
      <c r="H49" s="27">
        <f>G49*F49</f>
        <v>4.7788800000000009</v>
      </c>
      <c r="I49" s="28"/>
      <c r="J49" s="29">
        <f>'[5]13. Final 2015 RTS Rates'!$H$26</f>
        <v>5.857883813739073E-3</v>
      </c>
      <c r="K49" s="59">
        <f>K48</f>
        <v>837.68</v>
      </c>
      <c r="L49" s="27">
        <f>K49*J49</f>
        <v>4.9070321130929466</v>
      </c>
      <c r="M49" s="28"/>
      <c r="N49" s="31">
        <f t="shared" si="12"/>
        <v>0.12815211309294572</v>
      </c>
      <c r="O49" s="32">
        <f t="shared" si="14"/>
        <v>2.681634882921222E-2</v>
      </c>
    </row>
    <row r="50" spans="2:19" x14ac:dyDescent="0.25">
      <c r="B50" s="50" t="s">
        <v>30</v>
      </c>
      <c r="C50" s="36"/>
      <c r="D50" s="36"/>
      <c r="E50" s="36"/>
      <c r="F50" s="61"/>
      <c r="G50" s="53"/>
      <c r="H50" s="54">
        <f>SUM(H47:H49)</f>
        <v>41.491664000000007</v>
      </c>
      <c r="I50" s="62"/>
      <c r="J50" s="63"/>
      <c r="K50" s="64"/>
      <c r="L50" s="54">
        <f>SUM(L47:L49)</f>
        <v>38.768999729278683</v>
      </c>
      <c r="M50" s="62"/>
      <c r="N50" s="44">
        <f t="shared" si="12"/>
        <v>-2.7226642707213244</v>
      </c>
      <c r="O50" s="45">
        <f t="shared" si="14"/>
        <v>-6.5619548801931007E-2</v>
      </c>
    </row>
    <row r="51" spans="2:19" x14ac:dyDescent="0.25">
      <c r="B51" s="65" t="s">
        <v>31</v>
      </c>
      <c r="C51" s="22"/>
      <c r="D51" s="23" t="s">
        <v>61</v>
      </c>
      <c r="E51" s="24"/>
      <c r="F51" s="66">
        <v>4.4000000000000003E-3</v>
      </c>
      <c r="G51" s="58">
        <f>G49</f>
        <v>838.40000000000009</v>
      </c>
      <c r="H51" s="67">
        <f t="shared" ref="H51:H57" si="15">G51*F51</f>
        <v>3.6889600000000007</v>
      </c>
      <c r="I51" s="28"/>
      <c r="J51" s="66">
        <v>4.4000000000000003E-3</v>
      </c>
      <c r="K51" s="59">
        <f>K49</f>
        <v>837.68</v>
      </c>
      <c r="L51" s="67">
        <f t="shared" ref="L51:L57" si="16">K51*J51</f>
        <v>3.6857920000000002</v>
      </c>
      <c r="M51" s="28"/>
      <c r="N51" s="31">
        <f t="shared" si="12"/>
        <v>-3.1680000000005037E-3</v>
      </c>
      <c r="O51" s="68">
        <f t="shared" si="14"/>
        <v>-8.5877862595433484E-4</v>
      </c>
    </row>
    <row r="52" spans="2:19" x14ac:dyDescent="0.25">
      <c r="B52" s="65" t="s">
        <v>32</v>
      </c>
      <c r="C52" s="22"/>
      <c r="D52" s="23" t="s">
        <v>61</v>
      </c>
      <c r="E52" s="24"/>
      <c r="F52" s="66">
        <v>1.2999999999999999E-3</v>
      </c>
      <c r="G52" s="58">
        <f>G49</f>
        <v>838.40000000000009</v>
      </c>
      <c r="H52" s="67">
        <f t="shared" si="15"/>
        <v>1.08992</v>
      </c>
      <c r="I52" s="28"/>
      <c r="J52" s="66">
        <v>1.2999999999999999E-3</v>
      </c>
      <c r="K52" s="59">
        <f>K49</f>
        <v>837.68</v>
      </c>
      <c r="L52" s="67">
        <f t="shared" si="16"/>
        <v>1.088984</v>
      </c>
      <c r="M52" s="28"/>
      <c r="N52" s="31">
        <f t="shared" si="12"/>
        <v>-9.360000000000479E-4</v>
      </c>
      <c r="O52" s="68">
        <f t="shared" si="14"/>
        <v>-8.5877862595424247E-4</v>
      </c>
    </row>
    <row r="53" spans="2:19" x14ac:dyDescent="0.25">
      <c r="B53" s="22" t="s">
        <v>33</v>
      </c>
      <c r="C53" s="22"/>
      <c r="D53" s="23" t="s">
        <v>60</v>
      </c>
      <c r="E53" s="24"/>
      <c r="F53" s="176">
        <v>0.25</v>
      </c>
      <c r="G53" s="26">
        <v>1</v>
      </c>
      <c r="H53" s="67">
        <f t="shared" si="15"/>
        <v>0.25</v>
      </c>
      <c r="I53" s="28"/>
      <c r="J53" s="176">
        <v>0.25</v>
      </c>
      <c r="K53" s="30">
        <v>1</v>
      </c>
      <c r="L53" s="67">
        <f t="shared" si="16"/>
        <v>0.25</v>
      </c>
      <c r="M53" s="28"/>
      <c r="N53" s="31">
        <f t="shared" si="12"/>
        <v>0</v>
      </c>
      <c r="O53" s="68">
        <f t="shared" si="14"/>
        <v>0</v>
      </c>
    </row>
    <row r="54" spans="2:19" x14ac:dyDescent="0.25">
      <c r="B54" s="22" t="s">
        <v>34</v>
      </c>
      <c r="C54" s="22"/>
      <c r="D54" s="23" t="s">
        <v>61</v>
      </c>
      <c r="E54" s="24"/>
      <c r="F54" s="66">
        <v>7.0000000000000001E-3</v>
      </c>
      <c r="G54" s="69">
        <f>F16</f>
        <v>800</v>
      </c>
      <c r="H54" s="67">
        <f t="shared" si="15"/>
        <v>5.6000000000000005</v>
      </c>
      <c r="I54" s="28"/>
      <c r="J54" s="66">
        <v>7.0000000000000001E-3</v>
      </c>
      <c r="K54" s="70">
        <f>F16</f>
        <v>800</v>
      </c>
      <c r="L54" s="67">
        <f t="shared" si="16"/>
        <v>5.6000000000000005</v>
      </c>
      <c r="M54" s="28"/>
      <c r="N54" s="31">
        <f t="shared" si="12"/>
        <v>0</v>
      </c>
      <c r="O54" s="68">
        <f t="shared" si="14"/>
        <v>0</v>
      </c>
    </row>
    <row r="55" spans="2:19" x14ac:dyDescent="0.25">
      <c r="B55" s="49" t="s">
        <v>35</v>
      </c>
      <c r="C55" s="22"/>
      <c r="D55" s="23" t="s">
        <v>61</v>
      </c>
      <c r="E55" s="24"/>
      <c r="F55" s="66">
        <v>7.4999999999999997E-2</v>
      </c>
      <c r="G55" s="69">
        <f>0.64*$F$16</f>
        <v>512</v>
      </c>
      <c r="H55" s="67">
        <f t="shared" si="15"/>
        <v>38.4</v>
      </c>
      <c r="I55" s="28"/>
      <c r="J55" s="66">
        <v>7.4999999999999997E-2</v>
      </c>
      <c r="K55" s="69">
        <f>G55</f>
        <v>512</v>
      </c>
      <c r="L55" s="67">
        <f t="shared" si="16"/>
        <v>38.4</v>
      </c>
      <c r="M55" s="28"/>
      <c r="N55" s="31">
        <f t="shared" si="12"/>
        <v>0</v>
      </c>
      <c r="O55" s="68">
        <f t="shared" si="14"/>
        <v>0</v>
      </c>
      <c r="S55" s="72"/>
    </row>
    <row r="56" spans="2:19" x14ac:dyDescent="0.25">
      <c r="B56" s="49" t="s">
        <v>36</v>
      </c>
      <c r="C56" s="22"/>
      <c r="D56" s="23" t="s">
        <v>61</v>
      </c>
      <c r="E56" s="24"/>
      <c r="F56" s="66">
        <v>0.112</v>
      </c>
      <c r="G56" s="69">
        <f>0.18*$F$16</f>
        <v>144</v>
      </c>
      <c r="H56" s="67">
        <f t="shared" si="15"/>
        <v>16.128</v>
      </c>
      <c r="I56" s="28"/>
      <c r="J56" s="66">
        <v>0.112</v>
      </c>
      <c r="K56" s="69">
        <f>G56</f>
        <v>144</v>
      </c>
      <c r="L56" s="67">
        <f t="shared" si="16"/>
        <v>16.128</v>
      </c>
      <c r="M56" s="28"/>
      <c r="N56" s="31">
        <f t="shared" si="12"/>
        <v>0</v>
      </c>
      <c r="O56" s="68">
        <f t="shared" si="14"/>
        <v>0</v>
      </c>
      <c r="S56" s="72"/>
    </row>
    <row r="57" spans="2:19" x14ac:dyDescent="0.25">
      <c r="B57" s="12" t="s">
        <v>37</v>
      </c>
      <c r="C57" s="22"/>
      <c r="D57" s="23" t="s">
        <v>61</v>
      </c>
      <c r="E57" s="24"/>
      <c r="F57" s="66">
        <v>0.13500000000000001</v>
      </c>
      <c r="G57" s="69">
        <f>0.18*$F$16</f>
        <v>144</v>
      </c>
      <c r="H57" s="67">
        <f t="shared" si="15"/>
        <v>19.440000000000001</v>
      </c>
      <c r="I57" s="28"/>
      <c r="J57" s="66">
        <v>0.13500000000000001</v>
      </c>
      <c r="K57" s="69">
        <f>G57</f>
        <v>144</v>
      </c>
      <c r="L57" s="67">
        <f t="shared" si="16"/>
        <v>19.440000000000001</v>
      </c>
      <c r="M57" s="28"/>
      <c r="N57" s="31">
        <f t="shared" si="12"/>
        <v>0</v>
      </c>
      <c r="O57" s="68">
        <f t="shared" si="14"/>
        <v>0</v>
      </c>
      <c r="S57" s="72"/>
    </row>
    <row r="58" spans="2:19" s="73" customFormat="1" x14ac:dyDescent="0.2">
      <c r="B58" s="74" t="s">
        <v>38</v>
      </c>
      <c r="C58" s="75"/>
      <c r="D58" s="76" t="s">
        <v>61</v>
      </c>
      <c r="E58" s="77"/>
      <c r="F58" s="66">
        <v>8.5999999999999993E-2</v>
      </c>
      <c r="G58" s="78">
        <f>IF(AND($T$1=1, F16&gt;=600), 600, IF(AND($T$1=1, AND(F16&lt;600, F16&gt;=0)), F16, IF(AND($T$1=2, F16&gt;=1000), 1000, IF(AND($T$1=2, AND(F16&lt;1000, F16&gt;=0)), F16))))</f>
        <v>600</v>
      </c>
      <c r="H58" s="67">
        <f>G58*F58</f>
        <v>51.599999999999994</v>
      </c>
      <c r="I58" s="79"/>
      <c r="J58" s="66">
        <v>8.5999999999999993E-2</v>
      </c>
      <c r="K58" s="78">
        <f>G58</f>
        <v>600</v>
      </c>
      <c r="L58" s="67">
        <f>K58*J58</f>
        <v>51.599999999999994</v>
      </c>
      <c r="M58" s="79"/>
      <c r="N58" s="80">
        <f t="shared" si="12"/>
        <v>0</v>
      </c>
      <c r="O58" s="68">
        <f t="shared" si="14"/>
        <v>0</v>
      </c>
    </row>
    <row r="59" spans="2:19" s="73" customFormat="1" ht="15.75" thickBot="1" x14ac:dyDescent="0.25">
      <c r="B59" s="74" t="s">
        <v>39</v>
      </c>
      <c r="C59" s="75"/>
      <c r="D59" s="76" t="s">
        <v>61</v>
      </c>
      <c r="E59" s="77"/>
      <c r="F59" s="66">
        <v>0.10100000000000001</v>
      </c>
      <c r="G59" s="78">
        <f>IF(AND($T$1=1, F16&gt;=600), F16-600, IF(AND($T$1=1, AND(F16&lt;600, F16&gt;=0)), 0, IF(AND($T$1=2, F16&gt;=1000), F16-1000, IF(AND($T$1=2, AND(F16&lt;1000, F16&gt;=0)), 0))))</f>
        <v>200</v>
      </c>
      <c r="H59" s="67">
        <f>G59*F59</f>
        <v>20.200000000000003</v>
      </c>
      <c r="I59" s="79"/>
      <c r="J59" s="66">
        <v>0.10100000000000001</v>
      </c>
      <c r="K59" s="78">
        <f>G59</f>
        <v>200</v>
      </c>
      <c r="L59" s="67">
        <f>K59*J59</f>
        <v>20.200000000000003</v>
      </c>
      <c r="M59" s="79"/>
      <c r="N59" s="80">
        <f t="shared" si="12"/>
        <v>0</v>
      </c>
      <c r="O59" s="68">
        <f t="shared" si="14"/>
        <v>0</v>
      </c>
    </row>
    <row r="60" spans="2:19" ht="8.25" customHeight="1" thickBot="1" x14ac:dyDescent="0.3">
      <c r="B60" s="81"/>
      <c r="C60" s="82"/>
      <c r="D60" s="83"/>
      <c r="E60" s="82"/>
      <c r="F60" s="84"/>
      <c r="G60" s="85"/>
      <c r="H60" s="86"/>
      <c r="I60" s="87"/>
      <c r="J60" s="84"/>
      <c r="K60" s="88"/>
      <c r="L60" s="86"/>
      <c r="M60" s="87"/>
      <c r="N60" s="89"/>
      <c r="O60" s="90"/>
    </row>
    <row r="61" spans="2:19" x14ac:dyDescent="0.25">
      <c r="B61" s="91" t="s">
        <v>40</v>
      </c>
      <c r="C61" s="22"/>
      <c r="D61" s="22"/>
      <c r="E61" s="22"/>
      <c r="F61" s="92"/>
      <c r="G61" s="93"/>
      <c r="H61" s="94">
        <f>SUM(H51:H57,H50)</f>
        <v>126.08854400000001</v>
      </c>
      <c r="I61" s="95"/>
      <c r="J61" s="96"/>
      <c r="K61" s="96"/>
      <c r="L61" s="189">
        <f>SUM(L51:L57,L50)</f>
        <v>123.36177572927869</v>
      </c>
      <c r="M61" s="97"/>
      <c r="N61" s="98">
        <f>L61-H61</f>
        <v>-2.7267682707213226</v>
      </c>
      <c r="O61" s="99">
        <f>IF((H61)=0,"",(N61/H61))</f>
        <v>-2.1625820905040526E-2</v>
      </c>
      <c r="S61" s="72"/>
    </row>
    <row r="62" spans="2:19" x14ac:dyDescent="0.25">
      <c r="B62" s="100" t="s">
        <v>41</v>
      </c>
      <c r="C62" s="22"/>
      <c r="D62" s="22"/>
      <c r="E62" s="22"/>
      <c r="F62" s="101">
        <v>0.13</v>
      </c>
      <c r="G62" s="102"/>
      <c r="H62" s="103">
        <f>H61*F62</f>
        <v>16.391510720000003</v>
      </c>
      <c r="I62" s="104"/>
      <c r="J62" s="105">
        <v>0.13</v>
      </c>
      <c r="K62" s="104"/>
      <c r="L62" s="106">
        <f>L61*J62</f>
        <v>16.037030844806232</v>
      </c>
      <c r="M62" s="107"/>
      <c r="N62" s="108">
        <f t="shared" si="12"/>
        <v>-0.35447987519377122</v>
      </c>
      <c r="O62" s="109">
        <f t="shared" si="14"/>
        <v>-2.1625820905040481E-2</v>
      </c>
      <c r="S62" s="72"/>
    </row>
    <row r="63" spans="2:19" x14ac:dyDescent="0.25">
      <c r="B63" s="110" t="s">
        <v>42</v>
      </c>
      <c r="C63" s="22"/>
      <c r="D63" s="22"/>
      <c r="E63" s="22"/>
      <c r="F63" s="111"/>
      <c r="G63" s="102"/>
      <c r="H63" s="103">
        <f>H61+H62</f>
        <v>142.48005472000003</v>
      </c>
      <c r="I63" s="104"/>
      <c r="J63" s="104"/>
      <c r="K63" s="104"/>
      <c r="L63" s="106">
        <f>L61+L62</f>
        <v>139.39880657408492</v>
      </c>
      <c r="M63" s="107"/>
      <c r="N63" s="108">
        <f t="shared" si="12"/>
        <v>-3.0812481459151115</v>
      </c>
      <c r="O63" s="109">
        <f t="shared" si="14"/>
        <v>-2.1625820905040644E-2</v>
      </c>
      <c r="S63" s="72"/>
    </row>
    <row r="64" spans="2:19" ht="15.75" customHeight="1" x14ac:dyDescent="0.25">
      <c r="B64" s="240" t="s">
        <v>43</v>
      </c>
      <c r="C64" s="240"/>
      <c r="D64" s="240"/>
      <c r="E64" s="22"/>
      <c r="F64" s="111"/>
      <c r="G64" s="102"/>
      <c r="H64" s="112">
        <f>ROUND(-H63*10%,2)</f>
        <v>-14.25</v>
      </c>
      <c r="I64" s="104"/>
      <c r="J64" s="104"/>
      <c r="K64" s="104"/>
      <c r="L64" s="113">
        <f>ROUND(-L63*10%,2)</f>
        <v>-13.94</v>
      </c>
      <c r="M64" s="107"/>
      <c r="N64" s="114">
        <f t="shared" si="12"/>
        <v>0.3100000000000005</v>
      </c>
      <c r="O64" s="115">
        <f t="shared" si="14"/>
        <v>-2.1754385964912314E-2</v>
      </c>
    </row>
    <row r="65" spans="1:15" ht="15.75" thickBot="1" x14ac:dyDescent="0.3">
      <c r="B65" s="246" t="s">
        <v>44</v>
      </c>
      <c r="C65" s="246"/>
      <c r="D65" s="246"/>
      <c r="E65" s="116"/>
      <c r="F65" s="117"/>
      <c r="G65" s="118"/>
      <c r="H65" s="119">
        <f>H63+H64</f>
        <v>128.23005472000003</v>
      </c>
      <c r="I65" s="120"/>
      <c r="J65" s="120"/>
      <c r="K65" s="120"/>
      <c r="L65" s="121">
        <f>L63+L64</f>
        <v>125.45880657408492</v>
      </c>
      <c r="M65" s="122"/>
      <c r="N65" s="123">
        <f t="shared" si="12"/>
        <v>-2.7712481459151093</v>
      </c>
      <c r="O65" s="124">
        <f t="shared" si="14"/>
        <v>-2.1611533676456258E-2</v>
      </c>
    </row>
    <row r="66" spans="1:15" s="73" customFormat="1" ht="8.25" customHeight="1" thickBot="1" x14ac:dyDescent="0.25">
      <c r="B66" s="125"/>
      <c r="C66" s="126"/>
      <c r="D66" s="127"/>
      <c r="E66" s="126"/>
      <c r="F66" s="84"/>
      <c r="G66" s="128"/>
      <c r="H66" s="86"/>
      <c r="I66" s="129"/>
      <c r="J66" s="84"/>
      <c r="K66" s="130"/>
      <c r="L66" s="86"/>
      <c r="M66" s="129"/>
      <c r="N66" s="131"/>
      <c r="O66" s="90"/>
    </row>
    <row r="67" spans="1:15" s="73" customFormat="1" ht="12.75" x14ac:dyDescent="0.2">
      <c r="B67" s="132" t="s">
        <v>45</v>
      </c>
      <c r="C67" s="75"/>
      <c r="D67" s="75"/>
      <c r="E67" s="75"/>
      <c r="F67" s="133"/>
      <c r="G67" s="134"/>
      <c r="H67" s="135">
        <f>SUM(H58:H59,H50,H51:H54)</f>
        <v>123.92054399999999</v>
      </c>
      <c r="I67" s="136"/>
      <c r="J67" s="137"/>
      <c r="K67" s="137"/>
      <c r="L67" s="188">
        <f>SUM(L58:L59,L50,L51:L54)</f>
        <v>121.19377572927868</v>
      </c>
      <c r="M67" s="138"/>
      <c r="N67" s="139">
        <f>L67-H67</f>
        <v>-2.7267682707213083</v>
      </c>
      <c r="O67" s="99">
        <f>IF((H67)=0,"",(N67/H67))</f>
        <v>-2.2004166401345917E-2</v>
      </c>
    </row>
    <row r="68" spans="1:15" s="73" customFormat="1" ht="12.75" x14ac:dyDescent="0.2">
      <c r="B68" s="140" t="s">
        <v>41</v>
      </c>
      <c r="C68" s="75"/>
      <c r="D68" s="75"/>
      <c r="E68" s="75"/>
      <c r="F68" s="141">
        <v>0.13</v>
      </c>
      <c r="G68" s="134"/>
      <c r="H68" s="142">
        <f>H67*F68</f>
        <v>16.10967072</v>
      </c>
      <c r="I68" s="143"/>
      <c r="J68" s="144">
        <v>0.13</v>
      </c>
      <c r="K68" s="145"/>
      <c r="L68" s="146">
        <f>L67*J68</f>
        <v>15.755190844806229</v>
      </c>
      <c r="M68" s="147"/>
      <c r="N68" s="148">
        <f>L68-H68</f>
        <v>-0.35447987519377122</v>
      </c>
      <c r="O68" s="109">
        <f>IF((H68)=0,"",(N68/H68))</f>
        <v>-2.2004166401345986E-2</v>
      </c>
    </row>
    <row r="69" spans="1:15" s="73" customFormat="1" ht="12.75" x14ac:dyDescent="0.2">
      <c r="B69" s="149" t="s">
        <v>42</v>
      </c>
      <c r="C69" s="75"/>
      <c r="D69" s="75"/>
      <c r="E69" s="75"/>
      <c r="F69" s="150"/>
      <c r="G69" s="151"/>
      <c r="H69" s="142">
        <f>H67+H68</f>
        <v>140.03021472</v>
      </c>
      <c r="I69" s="143"/>
      <c r="J69" s="143"/>
      <c r="K69" s="143"/>
      <c r="L69" s="146">
        <f>L67+L68</f>
        <v>136.94896657408492</v>
      </c>
      <c r="M69" s="147"/>
      <c r="N69" s="148">
        <f>L69-H69</f>
        <v>-3.0812481459150831</v>
      </c>
      <c r="O69" s="109">
        <f>IF((H69)=0,"",(N69/H69))</f>
        <v>-2.2004166401345948E-2</v>
      </c>
    </row>
    <row r="70" spans="1:15" s="73" customFormat="1" ht="15.75" customHeight="1" x14ac:dyDescent="0.2">
      <c r="B70" s="241" t="s">
        <v>43</v>
      </c>
      <c r="C70" s="241"/>
      <c r="D70" s="241"/>
      <c r="E70" s="75"/>
      <c r="F70" s="150"/>
      <c r="G70" s="151"/>
      <c r="H70" s="152">
        <f>ROUND(-H69*10%,2)</f>
        <v>-14</v>
      </c>
      <c r="I70" s="143"/>
      <c r="J70" s="143"/>
      <c r="K70" s="143"/>
      <c r="L70" s="153">
        <f>ROUND(-L69*10%,2)</f>
        <v>-13.69</v>
      </c>
      <c r="M70" s="147"/>
      <c r="N70" s="154">
        <f>L70-H70</f>
        <v>0.3100000000000005</v>
      </c>
      <c r="O70" s="115">
        <f>IF((H70)=0,"",(N70/H70))</f>
        <v>-2.2142857142857179E-2</v>
      </c>
    </row>
    <row r="71" spans="1:15" s="73" customFormat="1" ht="13.5" thickBot="1" x14ac:dyDescent="0.25">
      <c r="B71" s="233" t="s">
        <v>46</v>
      </c>
      <c r="C71" s="233"/>
      <c r="D71" s="233"/>
      <c r="E71" s="155"/>
      <c r="F71" s="156"/>
      <c r="G71" s="157"/>
      <c r="H71" s="158">
        <f>SUM(H69:H70)</f>
        <v>126.03021472</v>
      </c>
      <c r="I71" s="159"/>
      <c r="J71" s="159"/>
      <c r="K71" s="159"/>
      <c r="L71" s="160">
        <f>SUM(L69:L70)</f>
        <v>123.25896657408492</v>
      </c>
      <c r="M71" s="161"/>
      <c r="N71" s="162">
        <f>L71-H71</f>
        <v>-2.7712481459150808</v>
      </c>
      <c r="O71" s="163">
        <f>IF((H71)=0,"",(N71/H71))</f>
        <v>-2.1988760013397848E-2</v>
      </c>
    </row>
    <row r="72" spans="1:15" s="73" customFormat="1" ht="8.25" customHeight="1" thickBot="1" x14ac:dyDescent="0.25">
      <c r="B72" s="125"/>
      <c r="C72" s="126"/>
      <c r="D72" s="127"/>
      <c r="E72" s="126"/>
      <c r="F72" s="164"/>
      <c r="G72" s="165"/>
      <c r="H72" s="166"/>
      <c r="I72" s="167"/>
      <c r="J72" s="164"/>
      <c r="K72" s="128"/>
      <c r="L72" s="168"/>
      <c r="M72" s="129"/>
      <c r="N72" s="169"/>
      <c r="O72" s="90"/>
    </row>
    <row r="73" spans="1:15" ht="10.5" customHeight="1" x14ac:dyDescent="0.25">
      <c r="L73" s="72"/>
    </row>
    <row r="74" spans="1:15" x14ac:dyDescent="0.25">
      <c r="B74" s="13" t="s">
        <v>47</v>
      </c>
      <c r="F74" s="170">
        <v>4.8000000000000001E-2</v>
      </c>
      <c r="J74" s="170">
        <f>'Res (100kWh)'!$J$74</f>
        <v>4.7100000000000003E-2</v>
      </c>
    </row>
    <row r="75" spans="1:15" ht="10.5" customHeight="1" x14ac:dyDescent="0.25"/>
    <row r="76" spans="1:15" x14ac:dyDescent="0.25">
      <c r="A76" s="171" t="s">
        <v>48</v>
      </c>
    </row>
    <row r="77" spans="1:15" ht="10.5" customHeight="1" x14ac:dyDescent="0.25"/>
    <row r="78" spans="1:15" x14ac:dyDescent="0.25">
      <c r="A78" s="7" t="s">
        <v>49</v>
      </c>
    </row>
    <row r="79" spans="1:15" x14ac:dyDescent="0.25">
      <c r="A79" s="7" t="s">
        <v>50</v>
      </c>
    </row>
    <row r="81" spans="1:2" x14ac:dyDescent="0.25">
      <c r="A81" s="12" t="s">
        <v>51</v>
      </c>
    </row>
    <row r="82" spans="1:2" x14ac:dyDescent="0.25">
      <c r="A82" s="12" t="s">
        <v>52</v>
      </c>
    </row>
    <row r="84" spans="1:2" x14ac:dyDescent="0.25">
      <c r="A84" s="7" t="s">
        <v>53</v>
      </c>
    </row>
    <row r="85" spans="1:2" x14ac:dyDescent="0.25">
      <c r="A85" s="7" t="s">
        <v>54</v>
      </c>
    </row>
    <row r="86" spans="1:2" x14ac:dyDescent="0.25">
      <c r="A86" s="7" t="s">
        <v>55</v>
      </c>
    </row>
    <row r="87" spans="1:2" x14ac:dyDescent="0.25">
      <c r="A87" s="7" t="s">
        <v>56</v>
      </c>
    </row>
    <row r="88" spans="1:2" x14ac:dyDescent="0.25">
      <c r="A88" s="7" t="s">
        <v>57</v>
      </c>
    </row>
    <row r="90" spans="1:2" x14ac:dyDescent="0.25">
      <c r="A90" s="172"/>
      <c r="B90" s="7" t="s">
        <v>58</v>
      </c>
    </row>
  </sheetData>
  <mergeCells count="17">
    <mergeCell ref="B64:D64"/>
    <mergeCell ref="B65:D65"/>
    <mergeCell ref="B70:D70"/>
    <mergeCell ref="B71:D71"/>
    <mergeCell ref="D12:O12"/>
    <mergeCell ref="F18:H18"/>
    <mergeCell ref="J18:L18"/>
    <mergeCell ref="N18:O18"/>
    <mergeCell ref="D19:D20"/>
    <mergeCell ref="N19:N20"/>
    <mergeCell ref="O19:O20"/>
    <mergeCell ref="B9:O9"/>
    <mergeCell ref="N1:O1"/>
    <mergeCell ref="N2:O2"/>
    <mergeCell ref="N3:O3"/>
    <mergeCell ref="N5:O5"/>
    <mergeCell ref="B8:O8"/>
  </mergeCells>
  <dataValidations count="3">
    <dataValidation type="list" allowBlank="1" showInputMessage="1" showErrorMessage="1" sqref="E48:E49 E51:E60 E39:E46 E21:E37 E72 E66">
      <formula1>#REF!</formula1>
    </dataValidation>
    <dataValidation type="list" allowBlank="1" showInputMessage="1" showErrorMessage="1" prompt="Select Charge Unit - monthly, per kWh, per kW" sqref="D48:D49 D66 D72 D51:D60 D39:D46 D21:D37">
      <formula1>"Monthly, per kWh, per kW"</formula1>
    </dataValidation>
    <dataValidation type="list" allowBlank="1" showInputMessage="1" showErrorMessage="1" sqref="D14">
      <formula1>"TOU, non-TOU"</formula1>
    </dataValidation>
  </dataValidations>
  <pageMargins left="0.7" right="0.7" top="0.75" bottom="0.75" header="0.3" footer="0.3"/>
  <pageSetup scale="59" fitToHeight="0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theme="0" tint="-0.14999847407452621"/>
    <pageSetUpPr fitToPage="1"/>
  </sheetPr>
  <dimension ref="A1:T90"/>
  <sheetViews>
    <sheetView showGridLines="0" workbookViewId="0">
      <selection activeCell="L1" sqref="L1:O5"/>
    </sheetView>
  </sheetViews>
  <sheetFormatPr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8.5703125" style="7" customWidth="1"/>
    <col min="8" max="8" width="9.7109375" style="7" customWidth="1"/>
    <col min="9" max="9" width="2.85546875" style="7" customWidth="1"/>
    <col min="10" max="10" width="12.140625" style="7" customWidth="1"/>
    <col min="11" max="11" width="8.5703125" style="7" customWidth="1"/>
    <col min="12" max="12" width="9.7109375" style="7" customWidth="1"/>
    <col min="13" max="13" width="2.85546875" style="7" customWidth="1"/>
    <col min="14" max="14" width="11.5703125" style="7" customWidth="1"/>
    <col min="15" max="15" width="10.85546875" style="7" bestFit="1" customWidth="1"/>
    <col min="16" max="16" width="6.4257812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248" t="str">
        <f>'Res (100kWh)'!$N$1:$O$1</f>
        <v>EB-2014-0099</v>
      </c>
      <c r="O1" s="248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94</v>
      </c>
      <c r="N2" s="249">
        <f>'Res (100kWh)'!$N$2:$O$2</f>
        <v>8</v>
      </c>
      <c r="O2" s="249"/>
    </row>
    <row r="3" spans="1:20" s="2" customFormat="1" ht="15" customHeight="1" x14ac:dyDescent="0.25">
      <c r="C3" s="6"/>
      <c r="D3" s="6"/>
      <c r="E3" s="6"/>
      <c r="L3" s="3" t="s">
        <v>95</v>
      </c>
      <c r="N3" s="248" t="str">
        <f>'Res (100kWh)'!$N$3:$O$3</f>
        <v>8-B</v>
      </c>
      <c r="O3" s="248"/>
    </row>
    <row r="4" spans="1:20" s="2" customFormat="1" ht="9" customHeight="1" x14ac:dyDescent="0.25">
      <c r="L4" s="3"/>
      <c r="N4" s="232"/>
      <c r="O4"/>
    </row>
    <row r="5" spans="1:20" s="2" customFormat="1" x14ac:dyDescent="0.25">
      <c r="L5" s="3" t="s">
        <v>75</v>
      </c>
      <c r="N5" s="248">
        <f>'Res (100kWh)'!$N$5:$O$5</f>
        <v>42118</v>
      </c>
      <c r="O5" s="248"/>
    </row>
    <row r="6" spans="1:20" s="2" customFormat="1" ht="15" customHeight="1" x14ac:dyDescent="0.25">
      <c r="N6" s="7"/>
      <c r="O6"/>
      <c r="P6"/>
    </row>
    <row r="7" spans="1:20" ht="7.5" customHeight="1" x14ac:dyDescent="0.25">
      <c r="L7"/>
      <c r="M7"/>
      <c r="N7"/>
      <c r="O7"/>
      <c r="P7"/>
    </row>
    <row r="8" spans="1:20" ht="18.75" customHeight="1" x14ac:dyDescent="0.25">
      <c r="B8" s="247" t="s">
        <v>1</v>
      </c>
      <c r="C8" s="247"/>
      <c r="D8" s="247"/>
      <c r="E8" s="247"/>
      <c r="F8" s="247"/>
      <c r="G8" s="247"/>
      <c r="H8" s="247"/>
      <c r="I8" s="247"/>
      <c r="J8" s="247"/>
      <c r="K8" s="247"/>
      <c r="L8" s="247"/>
      <c r="M8" s="247"/>
      <c r="N8" s="247"/>
      <c r="O8" s="247"/>
      <c r="P8"/>
    </row>
    <row r="9" spans="1:20" ht="18.75" customHeight="1" x14ac:dyDescent="0.25">
      <c r="B9" s="247" t="s">
        <v>2</v>
      </c>
      <c r="C9" s="247"/>
      <c r="D9" s="247"/>
      <c r="E9" s="247"/>
      <c r="F9" s="247"/>
      <c r="G9" s="247"/>
      <c r="H9" s="247"/>
      <c r="I9" s="247"/>
      <c r="J9" s="247"/>
      <c r="K9" s="247"/>
      <c r="L9" s="247"/>
      <c r="M9" s="247"/>
      <c r="N9" s="247"/>
      <c r="O9" s="247"/>
      <c r="P9"/>
    </row>
    <row r="10" spans="1:20" ht="7.5" customHeight="1" x14ac:dyDescent="0.25">
      <c r="L10"/>
      <c r="M10"/>
      <c r="N10"/>
      <c r="O10"/>
      <c r="P10"/>
    </row>
    <row r="11" spans="1:20" ht="7.5" customHeight="1" x14ac:dyDescent="0.25">
      <c r="L11"/>
      <c r="M11"/>
      <c r="N11"/>
      <c r="O11"/>
      <c r="P11"/>
    </row>
    <row r="12" spans="1:20" ht="15.75" x14ac:dyDescent="0.25">
      <c r="B12" s="8" t="s">
        <v>3</v>
      </c>
      <c r="D12" s="242" t="s">
        <v>59</v>
      </c>
      <c r="E12" s="242"/>
      <c r="F12" s="242"/>
      <c r="G12" s="242"/>
      <c r="H12" s="242"/>
      <c r="I12" s="242"/>
      <c r="J12" s="242"/>
      <c r="K12" s="242"/>
      <c r="L12" s="242"/>
      <c r="M12" s="242"/>
      <c r="N12" s="242"/>
      <c r="O12" s="242"/>
    </row>
    <row r="13" spans="1:20" ht="7.5" customHeight="1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5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x14ac:dyDescent="0.25">
      <c r="B16" s="12"/>
      <c r="D16" s="13" t="s">
        <v>6</v>
      </c>
      <c r="E16" s="13"/>
      <c r="F16" s="14">
        <v>1000</v>
      </c>
      <c r="G16" s="13" t="s">
        <v>7</v>
      </c>
    </row>
    <row r="17" spans="2:15" x14ac:dyDescent="0.25">
      <c r="B17" s="12"/>
    </row>
    <row r="18" spans="2:15" x14ac:dyDescent="0.25">
      <c r="B18" s="12"/>
      <c r="D18" s="15"/>
      <c r="E18" s="15"/>
      <c r="F18" s="243" t="s">
        <v>8</v>
      </c>
      <c r="G18" s="244"/>
      <c r="H18" s="245"/>
      <c r="J18" s="243" t="s">
        <v>9</v>
      </c>
      <c r="K18" s="244"/>
      <c r="L18" s="245"/>
      <c r="N18" s="243" t="s">
        <v>10</v>
      </c>
      <c r="O18" s="245"/>
    </row>
    <row r="19" spans="2:15" x14ac:dyDescent="0.25">
      <c r="B19" s="12"/>
      <c r="D19" s="234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236" t="s">
        <v>15</v>
      </c>
      <c r="O19" s="238" t="s">
        <v>16</v>
      </c>
    </row>
    <row r="20" spans="2:15" x14ac:dyDescent="0.25">
      <c r="B20" s="12"/>
      <c r="D20" s="235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237"/>
      <c r="O20" s="239"/>
    </row>
    <row r="21" spans="2:15" ht="22.5" customHeight="1" x14ac:dyDescent="0.25">
      <c r="B21" s="22" t="s">
        <v>18</v>
      </c>
      <c r="C21" s="22"/>
      <c r="D21" s="23" t="s">
        <v>60</v>
      </c>
      <c r="E21" s="24"/>
      <c r="F21" s="174">
        <f>'[2]2014 Existing Rates'!$C$6</f>
        <v>14.64</v>
      </c>
      <c r="G21" s="26">
        <v>1</v>
      </c>
      <c r="H21" s="27">
        <f>G21*F21</f>
        <v>14.64</v>
      </c>
      <c r="I21" s="28"/>
      <c r="J21" s="173">
        <f>'[2]Rate Schedule '!$E$10</f>
        <v>16.73</v>
      </c>
      <c r="K21" s="30">
        <v>1</v>
      </c>
      <c r="L21" s="27">
        <f>K21*J21</f>
        <v>16.73</v>
      </c>
      <c r="M21" s="28"/>
      <c r="N21" s="31">
        <f>L21-H21</f>
        <v>2.09</v>
      </c>
      <c r="O21" s="32">
        <f>IF((H21)=0,"",(N21/H21))</f>
        <v>0.14275956284153005</v>
      </c>
    </row>
    <row r="22" spans="2:15" ht="36.75" customHeight="1" x14ac:dyDescent="0.25">
      <c r="B22" s="65" t="s">
        <v>80</v>
      </c>
      <c r="C22" s="22"/>
      <c r="D22" s="56" t="s">
        <v>60</v>
      </c>
      <c r="E22" s="24"/>
      <c r="F22" s="173">
        <v>1.33</v>
      </c>
      <c r="G22" s="26">
        <v>1</v>
      </c>
      <c r="H22" s="27">
        <f t="shared" ref="H22:H37" si="0">G22*F22</f>
        <v>1.33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-1.33</v>
      </c>
      <c r="O22" s="32">
        <f>IF((H22)=0,"",(N22/H22))</f>
        <v>-1</v>
      </c>
    </row>
    <row r="23" spans="2:15" ht="36.75" customHeight="1" x14ac:dyDescent="0.25">
      <c r="B23" s="175" t="s">
        <v>63</v>
      </c>
      <c r="C23" s="22"/>
      <c r="D23" s="56" t="s">
        <v>60</v>
      </c>
      <c r="E23" s="57"/>
      <c r="F23" s="173">
        <v>1.37</v>
      </c>
      <c r="G23" s="26">
        <v>1</v>
      </c>
      <c r="H23" s="27">
        <f t="shared" si="0"/>
        <v>1.37</v>
      </c>
      <c r="I23" s="28"/>
      <c r="J23" s="29"/>
      <c r="K23" s="30">
        <v>1</v>
      </c>
      <c r="L23" s="27">
        <f t="shared" ref="L23:L37" si="1">K23*J23</f>
        <v>0</v>
      </c>
      <c r="M23" s="28"/>
      <c r="N23" s="31">
        <f t="shared" ref="N23:N38" si="2">L23-H23</f>
        <v>-1.37</v>
      </c>
      <c r="O23" s="32">
        <f t="shared" ref="O23:O38" si="3">IF((H23)=0,"",(N23/H23))</f>
        <v>-1</v>
      </c>
    </row>
    <row r="24" spans="2:15" x14ac:dyDescent="0.25">
      <c r="B24" s="175" t="s">
        <v>64</v>
      </c>
      <c r="C24" s="22"/>
      <c r="D24" s="23" t="s">
        <v>60</v>
      </c>
      <c r="E24" s="24"/>
      <c r="F24" s="25"/>
      <c r="G24" s="26">
        <v>1</v>
      </c>
      <c r="H24" s="27">
        <f t="shared" si="0"/>
        <v>0</v>
      </c>
      <c r="I24" s="28"/>
      <c r="J24" s="173">
        <f>'[3]Stranded Meter Calc'!$B$103</f>
        <v>0.85</v>
      </c>
      <c r="K24" s="30">
        <v>1</v>
      </c>
      <c r="L24" s="27">
        <f t="shared" si="1"/>
        <v>0.85</v>
      </c>
      <c r="M24" s="28"/>
      <c r="N24" s="31">
        <f t="shared" si="2"/>
        <v>0.85</v>
      </c>
      <c r="O24" s="32" t="str">
        <f t="shared" si="3"/>
        <v/>
      </c>
    </row>
    <row r="25" spans="2:15" x14ac:dyDescent="0.25">
      <c r="B25" s="175" t="s">
        <v>88</v>
      </c>
      <c r="C25" s="22"/>
      <c r="D25" s="23" t="s">
        <v>61</v>
      </c>
      <c r="E25" s="24"/>
      <c r="F25" s="25">
        <v>0</v>
      </c>
      <c r="G25" s="26">
        <f t="shared" ref="G25" si="4">$F$16</f>
        <v>1000</v>
      </c>
      <c r="H25" s="27">
        <f t="shared" si="0"/>
        <v>0</v>
      </c>
      <c r="I25" s="28"/>
      <c r="J25" s="29">
        <f>'[4]6. Rate Rider Calculations'!$F$103</f>
        <v>2.0617237370664865E-4</v>
      </c>
      <c r="K25" s="26">
        <f>$F$16</f>
        <v>1000</v>
      </c>
      <c r="L25" s="27">
        <f t="shared" si="1"/>
        <v>0.20617237370664865</v>
      </c>
      <c r="M25" s="28"/>
      <c r="N25" s="31">
        <f t="shared" si="2"/>
        <v>0.20617237370664865</v>
      </c>
      <c r="O25" s="32" t="str">
        <f t="shared" si="3"/>
        <v/>
      </c>
    </row>
    <row r="26" spans="2:15" x14ac:dyDescent="0.25">
      <c r="B26" s="46" t="s">
        <v>65</v>
      </c>
      <c r="C26" s="22"/>
      <c r="D26" s="23" t="s">
        <v>61</v>
      </c>
      <c r="E26" s="24"/>
      <c r="F26" s="25">
        <v>-2.0000000000000001E-4</v>
      </c>
      <c r="G26" s="26">
        <f>$F$16</f>
        <v>1000</v>
      </c>
      <c r="H26" s="27">
        <f t="shared" si="0"/>
        <v>-0.2</v>
      </c>
      <c r="I26" s="28"/>
      <c r="J26" s="173"/>
      <c r="K26" s="26">
        <f>$F$16</f>
        <v>1000</v>
      </c>
      <c r="L26" s="27">
        <f t="shared" si="1"/>
        <v>0</v>
      </c>
      <c r="M26" s="28"/>
      <c r="N26" s="31">
        <f t="shared" si="2"/>
        <v>0.2</v>
      </c>
      <c r="O26" s="32">
        <f t="shared" si="3"/>
        <v>-1</v>
      </c>
    </row>
    <row r="27" spans="2:15" x14ac:dyDescent="0.25">
      <c r="B27" s="46" t="s">
        <v>66</v>
      </c>
      <c r="C27" s="22"/>
      <c r="D27" s="23" t="s">
        <v>61</v>
      </c>
      <c r="E27" s="24"/>
      <c r="F27" s="25"/>
      <c r="G27" s="26">
        <f>$F$16</f>
        <v>1000</v>
      </c>
      <c r="H27" s="27">
        <f t="shared" si="0"/>
        <v>0</v>
      </c>
      <c r="I27" s="28"/>
      <c r="J27" s="29">
        <f>'[4]6. Rate Rider Calculations'!$F$75</f>
        <v>-7.1014119500589033E-3</v>
      </c>
      <c r="K27" s="26">
        <f>$F$16</f>
        <v>1000</v>
      </c>
      <c r="L27" s="27">
        <f t="shared" si="1"/>
        <v>-7.1014119500589032</v>
      </c>
      <c r="M27" s="28"/>
      <c r="N27" s="31">
        <f t="shared" si="2"/>
        <v>-7.1014119500589032</v>
      </c>
      <c r="O27" s="32" t="str">
        <f t="shared" si="3"/>
        <v/>
      </c>
    </row>
    <row r="28" spans="2:15" x14ac:dyDescent="0.25">
      <c r="B28" s="22" t="s">
        <v>19</v>
      </c>
      <c r="C28" s="22"/>
      <c r="D28" s="23" t="s">
        <v>61</v>
      </c>
      <c r="E28" s="24"/>
      <c r="F28" s="25">
        <f>'[2]2014 Existing Rates'!$E$6</f>
        <v>1.3100000000000001E-2</v>
      </c>
      <c r="G28" s="26">
        <f>$F$16</f>
        <v>1000</v>
      </c>
      <c r="H28" s="27">
        <f t="shared" si="0"/>
        <v>13.100000000000001</v>
      </c>
      <c r="I28" s="28"/>
      <c r="J28" s="29">
        <f>'[2]Rate Schedule '!$E$11</f>
        <v>1.4999999999999999E-2</v>
      </c>
      <c r="K28" s="26">
        <f>$F$16</f>
        <v>1000</v>
      </c>
      <c r="L28" s="27">
        <f t="shared" si="1"/>
        <v>15</v>
      </c>
      <c r="M28" s="28"/>
      <c r="N28" s="31">
        <f t="shared" si="2"/>
        <v>1.8999999999999986</v>
      </c>
      <c r="O28" s="32">
        <f t="shared" si="3"/>
        <v>0.14503816793893118</v>
      </c>
    </row>
    <row r="29" spans="2:15" hidden="1" x14ac:dyDescent="0.25">
      <c r="B29" s="22" t="s">
        <v>20</v>
      </c>
      <c r="C29" s="22"/>
      <c r="D29" s="23"/>
      <c r="E29" s="24"/>
      <c r="F29" s="25"/>
      <c r="G29" s="26">
        <f>$F$16</f>
        <v>1000</v>
      </c>
      <c r="H29" s="27">
        <f t="shared" si="0"/>
        <v>0</v>
      </c>
      <c r="I29" s="28"/>
      <c r="J29" s="29"/>
      <c r="K29" s="26">
        <f t="shared" ref="K29:K37" si="5">$F$16</f>
        <v>1000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idden="1" x14ac:dyDescent="0.25">
      <c r="B30" s="22" t="s">
        <v>21</v>
      </c>
      <c r="C30" s="22"/>
      <c r="D30" s="23"/>
      <c r="E30" s="24"/>
      <c r="F30" s="25"/>
      <c r="G30" s="26">
        <f>$F$16</f>
        <v>1000</v>
      </c>
      <c r="H30" s="27">
        <f t="shared" si="0"/>
        <v>0</v>
      </c>
      <c r="I30" s="28"/>
      <c r="J30" s="29"/>
      <c r="K30" s="26">
        <f t="shared" si="5"/>
        <v>1000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idden="1" x14ac:dyDescent="0.25">
      <c r="B31" s="33"/>
      <c r="C31" s="22"/>
      <c r="D31" s="23"/>
      <c r="E31" s="24"/>
      <c r="F31" s="25"/>
      <c r="G31" s="26">
        <f t="shared" ref="G31:G37" si="6">$F$16</f>
        <v>1000</v>
      </c>
      <c r="H31" s="27">
        <f t="shared" si="0"/>
        <v>0</v>
      </c>
      <c r="I31" s="28"/>
      <c r="J31" s="29"/>
      <c r="K31" s="26">
        <f t="shared" si="5"/>
        <v>1000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idden="1" x14ac:dyDescent="0.25">
      <c r="B32" s="33"/>
      <c r="C32" s="22"/>
      <c r="D32" s="23"/>
      <c r="E32" s="24"/>
      <c r="F32" s="25"/>
      <c r="G32" s="26">
        <f t="shared" si="6"/>
        <v>1000</v>
      </c>
      <c r="H32" s="27">
        <f t="shared" si="0"/>
        <v>0</v>
      </c>
      <c r="I32" s="28"/>
      <c r="J32" s="29"/>
      <c r="K32" s="26">
        <f t="shared" si="5"/>
        <v>1000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idden="1" x14ac:dyDescent="0.25">
      <c r="B33" s="33"/>
      <c r="C33" s="22"/>
      <c r="D33" s="23"/>
      <c r="E33" s="24"/>
      <c r="F33" s="25"/>
      <c r="G33" s="26">
        <f t="shared" si="6"/>
        <v>1000</v>
      </c>
      <c r="H33" s="27">
        <f t="shared" si="0"/>
        <v>0</v>
      </c>
      <c r="I33" s="28"/>
      <c r="J33" s="29"/>
      <c r="K33" s="26">
        <f t="shared" si="5"/>
        <v>1000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idden="1" x14ac:dyDescent="0.25">
      <c r="B34" s="33"/>
      <c r="C34" s="22"/>
      <c r="D34" s="23"/>
      <c r="E34" s="24"/>
      <c r="F34" s="25"/>
      <c r="G34" s="26">
        <f t="shared" si="6"/>
        <v>1000</v>
      </c>
      <c r="H34" s="27">
        <f t="shared" si="0"/>
        <v>0</v>
      </c>
      <c r="I34" s="28"/>
      <c r="J34" s="29"/>
      <c r="K34" s="26">
        <f t="shared" si="5"/>
        <v>1000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idden="1" x14ac:dyDescent="0.25">
      <c r="B35" s="33"/>
      <c r="C35" s="22"/>
      <c r="D35" s="23"/>
      <c r="E35" s="24"/>
      <c r="F35" s="25"/>
      <c r="G35" s="26">
        <f t="shared" si="6"/>
        <v>1000</v>
      </c>
      <c r="H35" s="27">
        <f t="shared" si="0"/>
        <v>0</v>
      </c>
      <c r="I35" s="28"/>
      <c r="J35" s="29"/>
      <c r="K35" s="26">
        <f t="shared" si="5"/>
        <v>1000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idden="1" x14ac:dyDescent="0.25">
      <c r="B36" s="33"/>
      <c r="C36" s="22"/>
      <c r="D36" s="23"/>
      <c r="E36" s="24"/>
      <c r="F36" s="25"/>
      <c r="G36" s="26">
        <f t="shared" si="6"/>
        <v>1000</v>
      </c>
      <c r="H36" s="27">
        <f t="shared" si="0"/>
        <v>0</v>
      </c>
      <c r="I36" s="28"/>
      <c r="J36" s="29"/>
      <c r="K36" s="26">
        <f t="shared" si="5"/>
        <v>1000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hidden="1" x14ac:dyDescent="0.25">
      <c r="B37" s="33"/>
      <c r="C37" s="22"/>
      <c r="D37" s="23"/>
      <c r="E37" s="24"/>
      <c r="F37" s="25"/>
      <c r="G37" s="26">
        <f t="shared" si="6"/>
        <v>1000</v>
      </c>
      <c r="H37" s="27">
        <f t="shared" si="0"/>
        <v>0</v>
      </c>
      <c r="I37" s="28"/>
      <c r="J37" s="29"/>
      <c r="K37" s="26">
        <f t="shared" si="5"/>
        <v>1000</v>
      </c>
      <c r="L37" s="27">
        <f t="shared" si="1"/>
        <v>0</v>
      </c>
      <c r="M37" s="28"/>
      <c r="N37" s="31">
        <f t="shared" si="2"/>
        <v>0</v>
      </c>
      <c r="O37" s="32" t="str">
        <f t="shared" si="3"/>
        <v/>
      </c>
    </row>
    <row r="38" spans="2:15" s="34" customFormat="1" x14ac:dyDescent="0.25">
      <c r="B38" s="35" t="s">
        <v>22</v>
      </c>
      <c r="C38" s="36"/>
      <c r="D38" s="37"/>
      <c r="E38" s="36"/>
      <c r="F38" s="38"/>
      <c r="G38" s="39"/>
      <c r="H38" s="40">
        <f>SUM(H21:H37)</f>
        <v>30.240000000000002</v>
      </c>
      <c r="I38" s="41"/>
      <c r="J38" s="42"/>
      <c r="K38" s="43"/>
      <c r="L38" s="40">
        <f>SUM(L21:L37)</f>
        <v>25.684760423647749</v>
      </c>
      <c r="M38" s="41"/>
      <c r="N38" s="44">
        <f t="shared" si="2"/>
        <v>-4.5552395763522533</v>
      </c>
      <c r="O38" s="45">
        <f t="shared" si="3"/>
        <v>-0.15063622937672794</v>
      </c>
    </row>
    <row r="39" spans="2:15" hidden="1" x14ac:dyDescent="0.25">
      <c r="B39" s="175"/>
      <c r="C39" s="22"/>
      <c r="D39" s="56" t="s">
        <v>60</v>
      </c>
      <c r="E39" s="24"/>
      <c r="F39" s="25"/>
      <c r="G39" s="26">
        <v>1</v>
      </c>
      <c r="H39" s="27">
        <f>G39*F39</f>
        <v>0</v>
      </c>
      <c r="I39" s="28"/>
      <c r="J39" s="173"/>
      <c r="K39" s="30">
        <v>1</v>
      </c>
      <c r="L39" s="27">
        <f>K39*J39</f>
        <v>0</v>
      </c>
      <c r="M39" s="28"/>
      <c r="N39" s="31">
        <f>L39-H39</f>
        <v>0</v>
      </c>
      <c r="O39" s="32" t="str">
        <f>IF((H39)=0,"",(N39/H39))</f>
        <v/>
      </c>
    </row>
    <row r="40" spans="2:15" x14ac:dyDescent="0.25">
      <c r="B40" s="46" t="s">
        <v>23</v>
      </c>
      <c r="C40" s="22"/>
      <c r="D40" s="56" t="s">
        <v>61</v>
      </c>
      <c r="E40" s="57"/>
      <c r="F40" s="29">
        <v>-1.8E-3</v>
      </c>
      <c r="G40" s="26">
        <f>$F$16</f>
        <v>1000</v>
      </c>
      <c r="H40" s="27">
        <f t="shared" ref="H40:H46" si="7">G40*F40</f>
        <v>-1.8</v>
      </c>
      <c r="I40" s="28"/>
      <c r="J40" s="29">
        <f>'[4]6. Rate Rider Calculations'!$F$20</f>
        <v>-1.0353326935341441E-3</v>
      </c>
      <c r="K40" s="26">
        <f>$F$16</f>
        <v>1000</v>
      </c>
      <c r="L40" s="27">
        <f t="shared" ref="L40:L46" si="8">K40*J40</f>
        <v>-1.035332693534144</v>
      </c>
      <c r="M40" s="28"/>
      <c r="N40" s="31">
        <f t="shared" ref="N40:N65" si="9">L40-H40</f>
        <v>0.76466730646585601</v>
      </c>
      <c r="O40" s="32">
        <f t="shared" ref="O40:O45" si="10">IF((H40)=0,"",(N40/H40))</f>
        <v>-0.42481517025880888</v>
      </c>
    </row>
    <row r="41" spans="2:15" hidden="1" x14ac:dyDescent="0.25">
      <c r="B41" s="46"/>
      <c r="C41" s="22"/>
      <c r="D41" s="23" t="s">
        <v>61</v>
      </c>
      <c r="E41" s="24"/>
      <c r="F41" s="25"/>
      <c r="G41" s="26">
        <f>$F$16</f>
        <v>1000</v>
      </c>
      <c r="H41" s="27">
        <f t="shared" si="7"/>
        <v>0</v>
      </c>
      <c r="I41" s="47"/>
      <c r="J41" s="29"/>
      <c r="K41" s="26">
        <f>$F$16</f>
        <v>1000</v>
      </c>
      <c r="L41" s="27">
        <f t="shared" si="8"/>
        <v>0</v>
      </c>
      <c r="M41" s="48"/>
      <c r="N41" s="31">
        <f t="shared" si="9"/>
        <v>0</v>
      </c>
      <c r="O41" s="32" t="str">
        <f t="shared" si="10"/>
        <v/>
      </c>
    </row>
    <row r="42" spans="2:15" hidden="1" x14ac:dyDescent="0.25">
      <c r="B42" s="46"/>
      <c r="C42" s="22"/>
      <c r="D42" s="23" t="s">
        <v>61</v>
      </c>
      <c r="E42" s="24"/>
      <c r="F42" s="25"/>
      <c r="G42" s="26">
        <f>$F$16</f>
        <v>1000</v>
      </c>
      <c r="H42" s="27">
        <f t="shared" si="7"/>
        <v>0</v>
      </c>
      <c r="I42" s="47"/>
      <c r="J42" s="29"/>
      <c r="K42" s="26">
        <f>$F$16</f>
        <v>1000</v>
      </c>
      <c r="L42" s="27">
        <f t="shared" si="8"/>
        <v>0</v>
      </c>
      <c r="M42" s="48"/>
      <c r="N42" s="31">
        <f t="shared" si="9"/>
        <v>0</v>
      </c>
      <c r="O42" s="32" t="str">
        <f t="shared" si="10"/>
        <v/>
      </c>
    </row>
    <row r="43" spans="2:15" hidden="1" x14ac:dyDescent="0.25">
      <c r="B43" s="46"/>
      <c r="C43" s="22"/>
      <c r="D43" s="23"/>
      <c r="E43" s="24"/>
      <c r="F43" s="25"/>
      <c r="G43" s="26">
        <f>$F$16</f>
        <v>1000</v>
      </c>
      <c r="H43" s="27">
        <f t="shared" si="7"/>
        <v>0</v>
      </c>
      <c r="I43" s="47"/>
      <c r="J43" s="29"/>
      <c r="K43" s="26">
        <f>$F$16</f>
        <v>1000</v>
      </c>
      <c r="L43" s="27">
        <f t="shared" si="8"/>
        <v>0</v>
      </c>
      <c r="M43" s="48"/>
      <c r="N43" s="31">
        <f t="shared" si="9"/>
        <v>0</v>
      </c>
      <c r="O43" s="32" t="str">
        <f t="shared" si="10"/>
        <v/>
      </c>
    </row>
    <row r="44" spans="2:15" x14ac:dyDescent="0.25">
      <c r="B44" s="49" t="s">
        <v>24</v>
      </c>
      <c r="C44" s="22"/>
      <c r="D44" s="23" t="s">
        <v>61</v>
      </c>
      <c r="E44" s="24"/>
      <c r="F44" s="195">
        <v>4.0000000000000003E-5</v>
      </c>
      <c r="G44" s="26">
        <f>$F$16</f>
        <v>1000</v>
      </c>
      <c r="H44" s="27">
        <f t="shared" si="7"/>
        <v>0.04</v>
      </c>
      <c r="I44" s="28"/>
      <c r="J44" s="195">
        <f>'[2]Rate Schedule '!$E$12</f>
        <v>6.9999999999999994E-5</v>
      </c>
      <c r="K44" s="26">
        <f>$F$16</f>
        <v>1000</v>
      </c>
      <c r="L44" s="27">
        <f t="shared" si="8"/>
        <v>6.9999999999999993E-2</v>
      </c>
      <c r="M44" s="28"/>
      <c r="N44" s="31">
        <f t="shared" si="9"/>
        <v>2.9999999999999992E-2</v>
      </c>
      <c r="O44" s="32">
        <f t="shared" si="10"/>
        <v>0.74999999999999978</v>
      </c>
    </row>
    <row r="45" spans="2:15" s="34" customFormat="1" x14ac:dyDescent="0.25">
      <c r="B45" s="180" t="s">
        <v>25</v>
      </c>
      <c r="C45" s="24"/>
      <c r="D45" s="181" t="s">
        <v>61</v>
      </c>
      <c r="E45" s="24"/>
      <c r="F45" s="182">
        <f>IF(ISBLANK(D14)=TRUE, 0, IF(D14="TOU", 0.64*$F$55+0.18*$F$56+0.18*$F$57, IF(AND(D14="non-TOU", G59&gt;0), F59,F58)))</f>
        <v>9.2460000000000001E-2</v>
      </c>
      <c r="G45" s="26">
        <f>$F$16*(1+$F$74)-$F$16</f>
        <v>48</v>
      </c>
      <c r="H45" s="183">
        <f t="shared" si="7"/>
        <v>4.4380800000000002</v>
      </c>
      <c r="I45" s="57"/>
      <c r="J45" s="184">
        <f>0.64*$F$55+0.18*$F$56+0.18*$F$57</f>
        <v>9.2460000000000001E-2</v>
      </c>
      <c r="K45" s="26">
        <f>$F$16*(1+$J$74)-$F$16</f>
        <v>47.099999999999909</v>
      </c>
      <c r="L45" s="183">
        <f t="shared" si="8"/>
        <v>4.3548659999999915</v>
      </c>
      <c r="M45" s="57"/>
      <c r="N45" s="185">
        <f t="shared" si="9"/>
        <v>-8.3214000000008781E-2</v>
      </c>
      <c r="O45" s="186">
        <f t="shared" si="10"/>
        <v>-1.8750000000001977E-2</v>
      </c>
    </row>
    <row r="46" spans="2:15" x14ac:dyDescent="0.25">
      <c r="B46" s="49" t="s">
        <v>26</v>
      </c>
      <c r="C46" s="22"/>
      <c r="D46" s="23" t="s">
        <v>60</v>
      </c>
      <c r="E46" s="24"/>
      <c r="F46" s="177">
        <v>0.79</v>
      </c>
      <c r="G46" s="26">
        <v>1</v>
      </c>
      <c r="H46" s="27">
        <f t="shared" si="7"/>
        <v>0.79</v>
      </c>
      <c r="I46" s="28"/>
      <c r="J46" s="177">
        <v>0.79</v>
      </c>
      <c r="K46" s="26">
        <v>1</v>
      </c>
      <c r="L46" s="27">
        <f t="shared" si="8"/>
        <v>0.79</v>
      </c>
      <c r="M46" s="28"/>
      <c r="N46" s="31">
        <f t="shared" si="9"/>
        <v>0</v>
      </c>
      <c r="O46" s="32"/>
    </row>
    <row r="47" spans="2:15" ht="25.5" x14ac:dyDescent="0.25">
      <c r="B47" s="50" t="s">
        <v>27</v>
      </c>
      <c r="C47" s="51"/>
      <c r="D47" s="51"/>
      <c r="E47" s="51"/>
      <c r="F47" s="52"/>
      <c r="G47" s="53"/>
      <c r="H47" s="54">
        <f>SUM(H39:H46)+H38</f>
        <v>33.708080000000002</v>
      </c>
      <c r="I47" s="41"/>
      <c r="J47" s="53"/>
      <c r="K47" s="55"/>
      <c r="L47" s="54">
        <f>SUM(L39:L46)+L38</f>
        <v>29.864293730113594</v>
      </c>
      <c r="M47" s="41"/>
      <c r="N47" s="44">
        <f t="shared" si="9"/>
        <v>-3.843786269886408</v>
      </c>
      <c r="O47" s="45">
        <f t="shared" ref="O47:O65" si="11">IF((H47)=0,"",(N47/H47))</f>
        <v>-0.11403159924523758</v>
      </c>
    </row>
    <row r="48" spans="2:15" x14ac:dyDescent="0.25">
      <c r="B48" s="28" t="s">
        <v>28</v>
      </c>
      <c r="C48" s="28"/>
      <c r="D48" s="56" t="s">
        <v>61</v>
      </c>
      <c r="E48" s="57"/>
      <c r="F48" s="29">
        <v>7.3000000000000001E-3</v>
      </c>
      <c r="G48" s="58">
        <f>F16*(1+F74)</f>
        <v>1048</v>
      </c>
      <c r="H48" s="27">
        <f>G48*F48</f>
        <v>7.6504000000000003</v>
      </c>
      <c r="I48" s="28"/>
      <c r="J48" s="29">
        <f>'[5]13. Final 2015 RTS Rates'!$F$26</f>
        <v>7.5166324038951132E-3</v>
      </c>
      <c r="K48" s="59">
        <f>F16*(1+J74)</f>
        <v>1047.0999999999999</v>
      </c>
      <c r="L48" s="27">
        <f>K48*J48</f>
        <v>7.8706657901185721</v>
      </c>
      <c r="M48" s="28"/>
      <c r="N48" s="31">
        <f t="shared" si="9"/>
        <v>0.22026579011857184</v>
      </c>
      <c r="O48" s="32">
        <f t="shared" si="11"/>
        <v>2.8791408307875643E-2</v>
      </c>
    </row>
    <row r="49" spans="2:19" x14ac:dyDescent="0.25">
      <c r="B49" s="60" t="s">
        <v>29</v>
      </c>
      <c r="C49" s="28"/>
      <c r="D49" s="56" t="s">
        <v>61</v>
      </c>
      <c r="E49" s="57"/>
      <c r="F49" s="29">
        <v>5.7000000000000002E-3</v>
      </c>
      <c r="G49" s="58">
        <f>G48</f>
        <v>1048</v>
      </c>
      <c r="H49" s="27">
        <f>G49*F49</f>
        <v>5.9736000000000002</v>
      </c>
      <c r="I49" s="28"/>
      <c r="J49" s="29">
        <f>'[5]13. Final 2015 RTS Rates'!$H$26</f>
        <v>5.857883813739073E-3</v>
      </c>
      <c r="K49" s="59">
        <f>K48</f>
        <v>1047.0999999999999</v>
      </c>
      <c r="L49" s="27">
        <f>K49*J49</f>
        <v>6.1337901413661831</v>
      </c>
      <c r="M49" s="28"/>
      <c r="N49" s="31">
        <f t="shared" si="9"/>
        <v>0.16019014136618281</v>
      </c>
      <c r="O49" s="32">
        <f t="shared" si="11"/>
        <v>2.6816348829212334E-2</v>
      </c>
    </row>
    <row r="50" spans="2:19" x14ac:dyDescent="0.25">
      <c r="B50" s="50" t="s">
        <v>30</v>
      </c>
      <c r="C50" s="36"/>
      <c r="D50" s="36"/>
      <c r="E50" s="36"/>
      <c r="F50" s="61"/>
      <c r="G50" s="53"/>
      <c r="H50" s="54">
        <f>SUM(H47:H49)</f>
        <v>47.332079999999998</v>
      </c>
      <c r="I50" s="62"/>
      <c r="J50" s="63"/>
      <c r="K50" s="64"/>
      <c r="L50" s="54">
        <f>SUM(L47:L49)</f>
        <v>43.868749661598351</v>
      </c>
      <c r="M50" s="62"/>
      <c r="N50" s="44">
        <f t="shared" si="9"/>
        <v>-3.4633303384016472</v>
      </c>
      <c r="O50" s="45">
        <f t="shared" si="11"/>
        <v>-7.3170888293978359E-2</v>
      </c>
    </row>
    <row r="51" spans="2:19" x14ac:dyDescent="0.25">
      <c r="B51" s="65" t="s">
        <v>31</v>
      </c>
      <c r="C51" s="22"/>
      <c r="D51" s="23" t="s">
        <v>61</v>
      </c>
      <c r="E51" s="24"/>
      <c r="F51" s="66">
        <v>4.4000000000000003E-3</v>
      </c>
      <c r="G51" s="58">
        <f>G49</f>
        <v>1048</v>
      </c>
      <c r="H51" s="67">
        <f t="shared" ref="H51:H57" si="12">G51*F51</f>
        <v>4.6112000000000002</v>
      </c>
      <c r="I51" s="28"/>
      <c r="J51" s="66">
        <v>4.4000000000000003E-3</v>
      </c>
      <c r="K51" s="59">
        <f>K49</f>
        <v>1047.0999999999999</v>
      </c>
      <c r="L51" s="67">
        <f t="shared" ref="L51:L57" si="13">K51*J51</f>
        <v>4.60724</v>
      </c>
      <c r="M51" s="28"/>
      <c r="N51" s="31">
        <f t="shared" si="9"/>
        <v>-3.9600000000001856E-3</v>
      </c>
      <c r="O51" s="68">
        <f t="shared" si="11"/>
        <v>-8.5877862595423867E-4</v>
      </c>
    </row>
    <row r="52" spans="2:19" x14ac:dyDescent="0.25">
      <c r="B52" s="65" t="s">
        <v>32</v>
      </c>
      <c r="C52" s="22"/>
      <c r="D52" s="23" t="s">
        <v>61</v>
      </c>
      <c r="E52" s="24"/>
      <c r="F52" s="66">
        <v>1.2999999999999999E-3</v>
      </c>
      <c r="G52" s="58">
        <f>G49</f>
        <v>1048</v>
      </c>
      <c r="H52" s="67">
        <f t="shared" si="12"/>
        <v>1.3623999999999998</v>
      </c>
      <c r="I52" s="28"/>
      <c r="J52" s="66">
        <v>1.2999999999999999E-3</v>
      </c>
      <c r="K52" s="59">
        <f>K49</f>
        <v>1047.0999999999999</v>
      </c>
      <c r="L52" s="67">
        <f t="shared" si="13"/>
        <v>1.3612299999999997</v>
      </c>
      <c r="M52" s="28"/>
      <c r="N52" s="31">
        <f t="shared" si="9"/>
        <v>-1.1700000000001154E-3</v>
      </c>
      <c r="O52" s="68">
        <f t="shared" si="11"/>
        <v>-8.5877862595428324E-4</v>
      </c>
    </row>
    <row r="53" spans="2:19" x14ac:dyDescent="0.25">
      <c r="B53" s="22" t="s">
        <v>33</v>
      </c>
      <c r="C53" s="22"/>
      <c r="D53" s="23" t="s">
        <v>60</v>
      </c>
      <c r="E53" s="24"/>
      <c r="F53" s="176">
        <v>0.25</v>
      </c>
      <c r="G53" s="26">
        <v>1</v>
      </c>
      <c r="H53" s="67">
        <f t="shared" si="12"/>
        <v>0.25</v>
      </c>
      <c r="I53" s="28"/>
      <c r="J53" s="176">
        <v>0.25</v>
      </c>
      <c r="K53" s="30">
        <v>1</v>
      </c>
      <c r="L53" s="67">
        <f t="shared" si="13"/>
        <v>0.25</v>
      </c>
      <c r="M53" s="28"/>
      <c r="N53" s="31">
        <f t="shared" si="9"/>
        <v>0</v>
      </c>
      <c r="O53" s="68">
        <f t="shared" si="11"/>
        <v>0</v>
      </c>
    </row>
    <row r="54" spans="2:19" x14ac:dyDescent="0.25">
      <c r="B54" s="22" t="s">
        <v>34</v>
      </c>
      <c r="C54" s="22"/>
      <c r="D54" s="23" t="s">
        <v>61</v>
      </c>
      <c r="E54" s="24"/>
      <c r="F54" s="66">
        <v>7.0000000000000001E-3</v>
      </c>
      <c r="G54" s="69">
        <f>F16</f>
        <v>1000</v>
      </c>
      <c r="H54" s="67">
        <f t="shared" si="12"/>
        <v>7</v>
      </c>
      <c r="I54" s="28"/>
      <c r="J54" s="66">
        <v>7.0000000000000001E-3</v>
      </c>
      <c r="K54" s="70">
        <f>F16</f>
        <v>1000</v>
      </c>
      <c r="L54" s="67">
        <f t="shared" si="13"/>
        <v>7</v>
      </c>
      <c r="M54" s="28"/>
      <c r="N54" s="31">
        <f t="shared" si="9"/>
        <v>0</v>
      </c>
      <c r="O54" s="68">
        <f t="shared" si="11"/>
        <v>0</v>
      </c>
    </row>
    <row r="55" spans="2:19" x14ac:dyDescent="0.25">
      <c r="B55" s="49" t="s">
        <v>35</v>
      </c>
      <c r="C55" s="22"/>
      <c r="D55" s="23" t="s">
        <v>61</v>
      </c>
      <c r="E55" s="24"/>
      <c r="F55" s="66">
        <v>7.4999999999999997E-2</v>
      </c>
      <c r="G55" s="69">
        <f>0.64*$F$16</f>
        <v>640</v>
      </c>
      <c r="H55" s="67">
        <f t="shared" si="12"/>
        <v>48</v>
      </c>
      <c r="I55" s="28"/>
      <c r="J55" s="66">
        <v>7.4999999999999997E-2</v>
      </c>
      <c r="K55" s="69">
        <f>G55</f>
        <v>640</v>
      </c>
      <c r="L55" s="67">
        <f t="shared" si="13"/>
        <v>48</v>
      </c>
      <c r="M55" s="28"/>
      <c r="N55" s="31">
        <f t="shared" si="9"/>
        <v>0</v>
      </c>
      <c r="O55" s="68">
        <f t="shared" si="11"/>
        <v>0</v>
      </c>
      <c r="S55" s="72"/>
    </row>
    <row r="56" spans="2:19" x14ac:dyDescent="0.25">
      <c r="B56" s="49" t="s">
        <v>36</v>
      </c>
      <c r="C56" s="22"/>
      <c r="D56" s="23" t="s">
        <v>61</v>
      </c>
      <c r="E56" s="24"/>
      <c r="F56" s="66">
        <v>0.112</v>
      </c>
      <c r="G56" s="69">
        <f>0.18*$F$16</f>
        <v>180</v>
      </c>
      <c r="H56" s="67">
        <f t="shared" si="12"/>
        <v>20.16</v>
      </c>
      <c r="I56" s="28"/>
      <c r="J56" s="66">
        <v>0.112</v>
      </c>
      <c r="K56" s="69">
        <f>G56</f>
        <v>180</v>
      </c>
      <c r="L56" s="67">
        <f t="shared" si="13"/>
        <v>20.16</v>
      </c>
      <c r="M56" s="28"/>
      <c r="N56" s="31">
        <f t="shared" si="9"/>
        <v>0</v>
      </c>
      <c r="O56" s="68">
        <f t="shared" si="11"/>
        <v>0</v>
      </c>
      <c r="S56" s="72"/>
    </row>
    <row r="57" spans="2:19" x14ac:dyDescent="0.25">
      <c r="B57" s="12" t="s">
        <v>37</v>
      </c>
      <c r="C57" s="22"/>
      <c r="D57" s="23" t="s">
        <v>61</v>
      </c>
      <c r="E57" s="24"/>
      <c r="F57" s="66">
        <v>0.13500000000000001</v>
      </c>
      <c r="G57" s="69">
        <f>0.18*$F$16</f>
        <v>180</v>
      </c>
      <c r="H57" s="67">
        <f t="shared" si="12"/>
        <v>24.3</v>
      </c>
      <c r="I57" s="28"/>
      <c r="J57" s="66">
        <v>0.13500000000000001</v>
      </c>
      <c r="K57" s="69">
        <f>G57</f>
        <v>180</v>
      </c>
      <c r="L57" s="67">
        <f t="shared" si="13"/>
        <v>24.3</v>
      </c>
      <c r="M57" s="28"/>
      <c r="N57" s="31">
        <f t="shared" si="9"/>
        <v>0</v>
      </c>
      <c r="O57" s="68">
        <f t="shared" si="11"/>
        <v>0</v>
      </c>
      <c r="S57" s="72"/>
    </row>
    <row r="58" spans="2:19" s="73" customFormat="1" x14ac:dyDescent="0.2">
      <c r="B58" s="74" t="s">
        <v>38</v>
      </c>
      <c r="C58" s="75"/>
      <c r="D58" s="76" t="s">
        <v>61</v>
      </c>
      <c r="E58" s="77"/>
      <c r="F58" s="66">
        <v>8.5999999999999993E-2</v>
      </c>
      <c r="G58" s="78">
        <f>IF(AND($T$1=1, F16&gt;=600), 600, IF(AND($T$1=1, AND(F16&lt;600, F16&gt;=0)), F16, IF(AND($T$1=2, F16&gt;=1000), 1000, IF(AND($T$1=2, AND(F16&lt;1000, F16&gt;=0)), F16))))</f>
        <v>600</v>
      </c>
      <c r="H58" s="67">
        <f>G58*F58</f>
        <v>51.599999999999994</v>
      </c>
      <c r="I58" s="79"/>
      <c r="J58" s="66">
        <v>8.5999999999999993E-2</v>
      </c>
      <c r="K58" s="78">
        <f>G58</f>
        <v>600</v>
      </c>
      <c r="L58" s="67">
        <f>K58*J58</f>
        <v>51.599999999999994</v>
      </c>
      <c r="M58" s="79"/>
      <c r="N58" s="80">
        <f t="shared" si="9"/>
        <v>0</v>
      </c>
      <c r="O58" s="68">
        <f t="shared" si="11"/>
        <v>0</v>
      </c>
    </row>
    <row r="59" spans="2:19" s="73" customFormat="1" ht="15.75" thickBot="1" x14ac:dyDescent="0.25">
      <c r="B59" s="74" t="s">
        <v>39</v>
      </c>
      <c r="C59" s="75"/>
      <c r="D59" s="76" t="s">
        <v>61</v>
      </c>
      <c r="E59" s="77"/>
      <c r="F59" s="66">
        <v>0.10100000000000001</v>
      </c>
      <c r="G59" s="78">
        <f>IF(AND($T$1=1, F16&gt;=600), F16-600, IF(AND($T$1=1, AND(F16&lt;600, F16&gt;=0)), 0, IF(AND($T$1=2, F16&gt;=1000), F16-1000, IF(AND($T$1=2, AND(F16&lt;1000, F16&gt;=0)), 0))))</f>
        <v>400</v>
      </c>
      <c r="H59" s="67">
        <f>G59*F59</f>
        <v>40.400000000000006</v>
      </c>
      <c r="I59" s="79"/>
      <c r="J59" s="66">
        <v>0.10100000000000001</v>
      </c>
      <c r="K59" s="78">
        <f>G59</f>
        <v>400</v>
      </c>
      <c r="L59" s="67">
        <f>K59*J59</f>
        <v>40.400000000000006</v>
      </c>
      <c r="M59" s="79"/>
      <c r="N59" s="80">
        <f t="shared" si="9"/>
        <v>0</v>
      </c>
      <c r="O59" s="68">
        <f t="shared" si="11"/>
        <v>0</v>
      </c>
    </row>
    <row r="60" spans="2:19" ht="8.25" customHeight="1" thickBot="1" x14ac:dyDescent="0.3">
      <c r="B60" s="81"/>
      <c r="C60" s="82"/>
      <c r="D60" s="83"/>
      <c r="E60" s="82"/>
      <c r="F60" s="84"/>
      <c r="G60" s="85"/>
      <c r="H60" s="86"/>
      <c r="I60" s="87"/>
      <c r="J60" s="84"/>
      <c r="K60" s="88"/>
      <c r="L60" s="86"/>
      <c r="M60" s="87"/>
      <c r="N60" s="89"/>
      <c r="O60" s="90"/>
    </row>
    <row r="61" spans="2:19" x14ac:dyDescent="0.25">
      <c r="B61" s="91" t="s">
        <v>40</v>
      </c>
      <c r="C61" s="22"/>
      <c r="D61" s="22"/>
      <c r="E61" s="22"/>
      <c r="F61" s="92"/>
      <c r="G61" s="93"/>
      <c r="H61" s="94">
        <f>SUM(H51:H57,H50)</f>
        <v>153.01568</v>
      </c>
      <c r="I61" s="95"/>
      <c r="J61" s="96"/>
      <c r="K61" s="96"/>
      <c r="L61" s="189">
        <f>SUM(L51:L57,L50)</f>
        <v>149.54721966159835</v>
      </c>
      <c r="M61" s="97"/>
      <c r="N61" s="98">
        <f>L61-H61</f>
        <v>-3.4684603384016555</v>
      </c>
      <c r="O61" s="99">
        <f>IF((H61)=0,"",(N61/H61))</f>
        <v>-2.266735238115241E-2</v>
      </c>
      <c r="S61" s="72"/>
    </row>
    <row r="62" spans="2:19" x14ac:dyDescent="0.25">
      <c r="B62" s="100" t="s">
        <v>41</v>
      </c>
      <c r="C62" s="22"/>
      <c r="D62" s="22"/>
      <c r="E62" s="22"/>
      <c r="F62" s="101">
        <v>0.13</v>
      </c>
      <c r="G62" s="102"/>
      <c r="H62" s="103">
        <f>H61*F62</f>
        <v>19.892038400000001</v>
      </c>
      <c r="I62" s="104"/>
      <c r="J62" s="105">
        <v>0.13</v>
      </c>
      <c r="K62" s="104"/>
      <c r="L62" s="106">
        <f>L61*J62</f>
        <v>19.441138556007786</v>
      </c>
      <c r="M62" s="107"/>
      <c r="N62" s="108">
        <f t="shared" si="9"/>
        <v>-0.4508998439922145</v>
      </c>
      <c r="O62" s="109">
        <f t="shared" si="11"/>
        <v>-2.2667352381152375E-2</v>
      </c>
      <c r="S62" s="72"/>
    </row>
    <row r="63" spans="2:19" x14ac:dyDescent="0.25">
      <c r="B63" s="110" t="s">
        <v>42</v>
      </c>
      <c r="C63" s="22"/>
      <c r="D63" s="22"/>
      <c r="E63" s="22"/>
      <c r="F63" s="111"/>
      <c r="G63" s="102"/>
      <c r="H63" s="103">
        <f>H61+H62</f>
        <v>172.90771839999999</v>
      </c>
      <c r="I63" s="104"/>
      <c r="J63" s="104"/>
      <c r="K63" s="104"/>
      <c r="L63" s="106">
        <f>L61+L62</f>
        <v>168.98835821760613</v>
      </c>
      <c r="M63" s="107"/>
      <c r="N63" s="108">
        <f t="shared" si="9"/>
        <v>-3.9193601823938593</v>
      </c>
      <c r="O63" s="109">
        <f t="shared" si="11"/>
        <v>-2.2667352381152348E-2</v>
      </c>
      <c r="S63" s="72"/>
    </row>
    <row r="64" spans="2:19" ht="15.75" customHeight="1" x14ac:dyDescent="0.25">
      <c r="B64" s="240" t="s">
        <v>43</v>
      </c>
      <c r="C64" s="240"/>
      <c r="D64" s="240"/>
      <c r="E64" s="22"/>
      <c r="F64" s="111"/>
      <c r="G64" s="102"/>
      <c r="H64" s="112">
        <f>ROUND(-H63*10%,2)</f>
        <v>-17.29</v>
      </c>
      <c r="I64" s="104"/>
      <c r="J64" s="104"/>
      <c r="K64" s="104"/>
      <c r="L64" s="113">
        <f>ROUND(-L63*10%,2)</f>
        <v>-16.899999999999999</v>
      </c>
      <c r="M64" s="107"/>
      <c r="N64" s="114">
        <f t="shared" si="9"/>
        <v>0.39000000000000057</v>
      </c>
      <c r="O64" s="115">
        <f t="shared" si="11"/>
        <v>-2.2556390977443642E-2</v>
      </c>
    </row>
    <row r="65" spans="1:15" ht="15.75" thickBot="1" x14ac:dyDescent="0.3">
      <c r="B65" s="246" t="s">
        <v>44</v>
      </c>
      <c r="C65" s="246"/>
      <c r="D65" s="246"/>
      <c r="E65" s="116"/>
      <c r="F65" s="117"/>
      <c r="G65" s="118"/>
      <c r="H65" s="119">
        <f>H63+H64</f>
        <v>155.6177184</v>
      </c>
      <c r="I65" s="120"/>
      <c r="J65" s="120"/>
      <c r="K65" s="120"/>
      <c r="L65" s="121">
        <f>L63+L64</f>
        <v>152.08835821760613</v>
      </c>
      <c r="M65" s="122"/>
      <c r="N65" s="123">
        <f t="shared" si="9"/>
        <v>-3.5293601823938729</v>
      </c>
      <c r="O65" s="124">
        <f t="shared" si="11"/>
        <v>-2.2679680814507257E-2</v>
      </c>
    </row>
    <row r="66" spans="1:15" s="73" customFormat="1" ht="8.25" customHeight="1" thickBot="1" x14ac:dyDescent="0.25">
      <c r="B66" s="125"/>
      <c r="C66" s="126"/>
      <c r="D66" s="127"/>
      <c r="E66" s="126"/>
      <c r="F66" s="84"/>
      <c r="G66" s="128"/>
      <c r="H66" s="86"/>
      <c r="I66" s="129"/>
      <c r="J66" s="84"/>
      <c r="K66" s="130"/>
      <c r="L66" s="86"/>
      <c r="M66" s="129"/>
      <c r="N66" s="131"/>
      <c r="O66" s="90"/>
    </row>
    <row r="67" spans="1:15" s="73" customFormat="1" ht="12.75" x14ac:dyDescent="0.2">
      <c r="B67" s="132" t="s">
        <v>45</v>
      </c>
      <c r="C67" s="75"/>
      <c r="D67" s="75"/>
      <c r="E67" s="75"/>
      <c r="F67" s="133"/>
      <c r="G67" s="134"/>
      <c r="H67" s="135">
        <f>SUM(H58:H59,H50,H51:H54)</f>
        <v>152.55568</v>
      </c>
      <c r="I67" s="136"/>
      <c r="J67" s="137"/>
      <c r="K67" s="137"/>
      <c r="L67" s="188">
        <f>SUM(L58:L59,L50,L51:L54)</f>
        <v>149.08721966159834</v>
      </c>
      <c r="M67" s="138"/>
      <c r="N67" s="139">
        <f>L67-H67</f>
        <v>-3.4684603384016555</v>
      </c>
      <c r="O67" s="99">
        <f>IF((H67)=0,"",(N67/H67))</f>
        <v>-2.2735701079118494E-2</v>
      </c>
    </row>
    <row r="68" spans="1:15" s="73" customFormat="1" ht="12.75" x14ac:dyDescent="0.2">
      <c r="B68" s="140" t="s">
        <v>41</v>
      </c>
      <c r="C68" s="75"/>
      <c r="D68" s="75"/>
      <c r="E68" s="75"/>
      <c r="F68" s="141">
        <v>0.13</v>
      </c>
      <c r="G68" s="134"/>
      <c r="H68" s="142">
        <f>H67*F68</f>
        <v>19.832238400000001</v>
      </c>
      <c r="I68" s="143"/>
      <c r="J68" s="144">
        <v>0.13</v>
      </c>
      <c r="K68" s="145"/>
      <c r="L68" s="146">
        <f>L67*J68</f>
        <v>19.381338556007783</v>
      </c>
      <c r="M68" s="147"/>
      <c r="N68" s="148">
        <f>L68-H68</f>
        <v>-0.45089984399221805</v>
      </c>
      <c r="O68" s="109">
        <f>IF((H68)=0,"",(N68/H68))</f>
        <v>-2.2735701079118636E-2</v>
      </c>
    </row>
    <row r="69" spans="1:15" s="73" customFormat="1" ht="12.75" x14ac:dyDescent="0.2">
      <c r="B69" s="149" t="s">
        <v>42</v>
      </c>
      <c r="C69" s="75"/>
      <c r="D69" s="75"/>
      <c r="E69" s="75"/>
      <c r="F69" s="150"/>
      <c r="G69" s="151"/>
      <c r="H69" s="142">
        <f>H67+H68</f>
        <v>172.38791839999999</v>
      </c>
      <c r="I69" s="143"/>
      <c r="J69" s="143"/>
      <c r="K69" s="143"/>
      <c r="L69" s="146">
        <f>L67+L68</f>
        <v>168.46855821760613</v>
      </c>
      <c r="M69" s="147"/>
      <c r="N69" s="148">
        <f>L69-H69</f>
        <v>-3.9193601823938593</v>
      </c>
      <c r="O69" s="109">
        <f>IF((H69)=0,"",(N69/H69))</f>
        <v>-2.2735701079118428E-2</v>
      </c>
    </row>
    <row r="70" spans="1:15" s="73" customFormat="1" ht="15.75" customHeight="1" x14ac:dyDescent="0.2">
      <c r="B70" s="241" t="s">
        <v>43</v>
      </c>
      <c r="C70" s="241"/>
      <c r="D70" s="241"/>
      <c r="E70" s="75"/>
      <c r="F70" s="150"/>
      <c r="G70" s="151"/>
      <c r="H70" s="152">
        <f>ROUND(-H69*10%,2)</f>
        <v>-17.239999999999998</v>
      </c>
      <c r="I70" s="143"/>
      <c r="J70" s="143"/>
      <c r="K70" s="143"/>
      <c r="L70" s="153">
        <f>ROUND(-L69*10%,2)</f>
        <v>-16.850000000000001</v>
      </c>
      <c r="M70" s="147"/>
      <c r="N70" s="154">
        <f>L70-H70</f>
        <v>0.38999999999999702</v>
      </c>
      <c r="O70" s="115">
        <f>IF((H70)=0,"",(N70/H70))</f>
        <v>-2.2621809744779411E-2</v>
      </c>
    </row>
    <row r="71" spans="1:15" s="73" customFormat="1" ht="13.5" thickBot="1" x14ac:dyDescent="0.25">
      <c r="B71" s="233" t="s">
        <v>46</v>
      </c>
      <c r="C71" s="233"/>
      <c r="D71" s="233"/>
      <c r="E71" s="155"/>
      <c r="F71" s="156"/>
      <c r="G71" s="157"/>
      <c r="H71" s="158">
        <f>SUM(H69:H70)</f>
        <v>155.14791839999998</v>
      </c>
      <c r="I71" s="159"/>
      <c r="J71" s="159"/>
      <c r="K71" s="159"/>
      <c r="L71" s="160">
        <f>SUM(L69:L70)</f>
        <v>151.61855821760614</v>
      </c>
      <c r="M71" s="161"/>
      <c r="N71" s="162">
        <f>L71-H71</f>
        <v>-3.5293601823938445</v>
      </c>
      <c r="O71" s="163">
        <f>IF((H71)=0,"",(N71/H71))</f>
        <v>-2.2748356657254675E-2</v>
      </c>
    </row>
    <row r="72" spans="1:15" s="73" customFormat="1" ht="8.25" customHeight="1" thickBot="1" x14ac:dyDescent="0.25">
      <c r="B72" s="125"/>
      <c r="C72" s="126"/>
      <c r="D72" s="127"/>
      <c r="E72" s="126"/>
      <c r="F72" s="164"/>
      <c r="G72" s="165"/>
      <c r="H72" s="166"/>
      <c r="I72" s="167"/>
      <c r="J72" s="164"/>
      <c r="K72" s="128"/>
      <c r="L72" s="168"/>
      <c r="M72" s="129"/>
      <c r="N72" s="169"/>
      <c r="O72" s="90"/>
    </row>
    <row r="73" spans="1:15" ht="10.5" customHeight="1" x14ac:dyDescent="0.25">
      <c r="L73" s="72"/>
    </row>
    <row r="74" spans="1:15" x14ac:dyDescent="0.25">
      <c r="B74" s="13" t="s">
        <v>47</v>
      </c>
      <c r="F74" s="170">
        <v>4.8000000000000001E-2</v>
      </c>
      <c r="J74" s="170">
        <f>'Res (100kWh)'!$J$74</f>
        <v>4.7100000000000003E-2</v>
      </c>
    </row>
    <row r="75" spans="1:15" ht="10.5" customHeight="1" x14ac:dyDescent="0.25"/>
    <row r="76" spans="1:15" x14ac:dyDescent="0.25">
      <c r="A76" s="171" t="s">
        <v>48</v>
      </c>
    </row>
    <row r="77" spans="1:15" ht="10.5" customHeight="1" x14ac:dyDescent="0.25"/>
    <row r="78" spans="1:15" x14ac:dyDescent="0.25">
      <c r="A78" s="7" t="s">
        <v>49</v>
      </c>
    </row>
    <row r="79" spans="1:15" x14ac:dyDescent="0.25">
      <c r="A79" s="7" t="s">
        <v>50</v>
      </c>
    </row>
    <row r="81" spans="1:2" x14ac:dyDescent="0.25">
      <c r="A81" s="12" t="s">
        <v>51</v>
      </c>
    </row>
    <row r="82" spans="1:2" x14ac:dyDescent="0.25">
      <c r="A82" s="12" t="s">
        <v>52</v>
      </c>
    </row>
    <row r="84" spans="1:2" x14ac:dyDescent="0.25">
      <c r="A84" s="7" t="s">
        <v>53</v>
      </c>
    </row>
    <row r="85" spans="1:2" x14ac:dyDescent="0.25">
      <c r="A85" s="7" t="s">
        <v>54</v>
      </c>
    </row>
    <row r="86" spans="1:2" x14ac:dyDescent="0.25">
      <c r="A86" s="7" t="s">
        <v>55</v>
      </c>
    </row>
    <row r="87" spans="1:2" x14ac:dyDescent="0.25">
      <c r="A87" s="7" t="s">
        <v>56</v>
      </c>
    </row>
    <row r="88" spans="1:2" x14ac:dyDescent="0.25">
      <c r="A88" s="7" t="s">
        <v>57</v>
      </c>
    </row>
    <row r="90" spans="1:2" x14ac:dyDescent="0.25">
      <c r="A90" s="172"/>
      <c r="B90" s="7" t="s">
        <v>58</v>
      </c>
    </row>
  </sheetData>
  <mergeCells count="17">
    <mergeCell ref="B64:D64"/>
    <mergeCell ref="B65:D65"/>
    <mergeCell ref="B70:D70"/>
    <mergeCell ref="B71:D71"/>
    <mergeCell ref="D12:O12"/>
    <mergeCell ref="F18:H18"/>
    <mergeCell ref="J18:L18"/>
    <mergeCell ref="N18:O18"/>
    <mergeCell ref="D19:D20"/>
    <mergeCell ref="N19:N20"/>
    <mergeCell ref="O19:O20"/>
    <mergeCell ref="B9:O9"/>
    <mergeCell ref="N1:O1"/>
    <mergeCell ref="N2:O2"/>
    <mergeCell ref="N3:O3"/>
    <mergeCell ref="N5:O5"/>
    <mergeCell ref="B8:O8"/>
  </mergeCells>
  <dataValidations count="4">
    <dataValidation type="list" allowBlank="1" showInputMessage="1" showErrorMessage="1" sqref="D14">
      <formula1>"TOU, non-TOU"</formula1>
    </dataValidation>
    <dataValidation type="list" allowBlank="1" showInputMessage="1" showErrorMessage="1" prompt="Select Charge Unit - monthly, per kWh, per kW" sqref="D48:D49 D66 D72 D51:D60 D39:D46 D21:D37">
      <formula1>"Monthly, per kWh, per kW"</formula1>
    </dataValidation>
    <dataValidation type="list" allowBlank="1" showInputMessage="1" showErrorMessage="1" sqref="E48:E49 E51:E60 E39:E46 E66 E72 E21:E24 E26:E37">
      <formula1>#REF!</formula1>
    </dataValidation>
    <dataValidation type="list" allowBlank="1" showInputMessage="1" showErrorMessage="1" sqref="E25">
      <formula1>#REF!</formula1>
    </dataValidation>
  </dataValidations>
  <pageMargins left="0.7" right="0.7" top="0.75" bottom="0.75" header="0.3" footer="0.3"/>
  <pageSetup scale="59" fitToHeight="0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tabColor theme="0" tint="-0.14999847407452621"/>
    <pageSetUpPr fitToPage="1"/>
  </sheetPr>
  <dimension ref="A1:T90"/>
  <sheetViews>
    <sheetView showGridLines="0" workbookViewId="0">
      <selection activeCell="R16" sqref="R16"/>
    </sheetView>
  </sheetViews>
  <sheetFormatPr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8.5703125" style="7" customWidth="1"/>
    <col min="8" max="8" width="9.7109375" style="7" customWidth="1"/>
    <col min="9" max="9" width="2.85546875" style="7" customWidth="1"/>
    <col min="10" max="10" width="12.140625" style="7" customWidth="1"/>
    <col min="11" max="11" width="8.5703125" style="7" customWidth="1"/>
    <col min="12" max="12" width="9.7109375" style="7" customWidth="1"/>
    <col min="13" max="13" width="2.85546875" style="7" customWidth="1"/>
    <col min="14" max="14" width="11.5703125" style="7" customWidth="1"/>
    <col min="15" max="15" width="10.85546875" style="7" bestFit="1" customWidth="1"/>
    <col min="16" max="16" width="6.4257812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248" t="str">
        <f>'Res (100kWh)'!$N$1:$O$1</f>
        <v>EB-2014-0099</v>
      </c>
      <c r="O1" s="248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94</v>
      </c>
      <c r="N2" s="249">
        <f>'Res (100kWh)'!$N$2:$O$2</f>
        <v>8</v>
      </c>
      <c r="O2" s="249"/>
    </row>
    <row r="3" spans="1:20" s="2" customFormat="1" ht="15" customHeight="1" x14ac:dyDescent="0.25">
      <c r="C3" s="6"/>
      <c r="D3" s="6"/>
      <c r="E3" s="6"/>
      <c r="L3" s="3" t="s">
        <v>95</v>
      </c>
      <c r="N3" s="248" t="str">
        <f>'Res (100kWh)'!$N$3:$O$3</f>
        <v>8-B</v>
      </c>
      <c r="O3" s="248"/>
    </row>
    <row r="4" spans="1:20" s="2" customFormat="1" ht="9" customHeight="1" x14ac:dyDescent="0.25">
      <c r="L4" s="3"/>
      <c r="N4" s="232"/>
      <c r="O4"/>
    </row>
    <row r="5" spans="1:20" s="2" customFormat="1" x14ac:dyDescent="0.25">
      <c r="L5" s="3" t="s">
        <v>75</v>
      </c>
      <c r="N5" s="248">
        <f>'Res (100kWh)'!$N$5:$O$5</f>
        <v>42118</v>
      </c>
      <c r="O5" s="248"/>
    </row>
    <row r="6" spans="1:20" s="2" customFormat="1" ht="15" customHeight="1" x14ac:dyDescent="0.25">
      <c r="N6" s="7"/>
      <c r="O6"/>
      <c r="P6"/>
    </row>
    <row r="7" spans="1:20" ht="7.5" customHeight="1" x14ac:dyDescent="0.25">
      <c r="L7"/>
      <c r="M7"/>
      <c r="N7"/>
      <c r="O7"/>
      <c r="P7"/>
    </row>
    <row r="8" spans="1:20" ht="18.75" customHeight="1" x14ac:dyDescent="0.25">
      <c r="B8" s="247" t="s">
        <v>1</v>
      </c>
      <c r="C8" s="247"/>
      <c r="D8" s="247"/>
      <c r="E8" s="247"/>
      <c r="F8" s="247"/>
      <c r="G8" s="247"/>
      <c r="H8" s="247"/>
      <c r="I8" s="247"/>
      <c r="J8" s="247"/>
      <c r="K8" s="247"/>
      <c r="L8" s="247"/>
      <c r="M8" s="247"/>
      <c r="N8" s="247"/>
      <c r="O8" s="247"/>
      <c r="P8"/>
    </row>
    <row r="9" spans="1:20" ht="18.75" customHeight="1" x14ac:dyDescent="0.25">
      <c r="B9" s="247" t="s">
        <v>2</v>
      </c>
      <c r="C9" s="247"/>
      <c r="D9" s="247"/>
      <c r="E9" s="247"/>
      <c r="F9" s="247"/>
      <c r="G9" s="247"/>
      <c r="H9" s="247"/>
      <c r="I9" s="247"/>
      <c r="J9" s="247"/>
      <c r="K9" s="247"/>
      <c r="L9" s="247"/>
      <c r="M9" s="247"/>
      <c r="N9" s="247"/>
      <c r="O9" s="247"/>
      <c r="P9"/>
    </row>
    <row r="10" spans="1:20" ht="7.5" customHeight="1" x14ac:dyDescent="0.25">
      <c r="L10"/>
      <c r="M10"/>
      <c r="N10"/>
      <c r="O10"/>
      <c r="P10"/>
    </row>
    <row r="11" spans="1:20" ht="7.5" customHeight="1" x14ac:dyDescent="0.25">
      <c r="L11"/>
      <c r="M11"/>
      <c r="N11"/>
      <c r="O11"/>
      <c r="P11"/>
    </row>
    <row r="12" spans="1:20" ht="15.75" x14ac:dyDescent="0.25">
      <c r="B12" s="8" t="s">
        <v>3</v>
      </c>
      <c r="D12" s="242" t="s">
        <v>59</v>
      </c>
      <c r="E12" s="242"/>
      <c r="F12" s="242"/>
      <c r="G12" s="242"/>
      <c r="H12" s="242"/>
      <c r="I12" s="242"/>
      <c r="J12" s="242"/>
      <c r="K12" s="242"/>
      <c r="L12" s="242"/>
      <c r="M12" s="242"/>
      <c r="N12" s="242"/>
      <c r="O12" s="242"/>
    </row>
    <row r="13" spans="1:20" ht="7.5" customHeight="1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5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x14ac:dyDescent="0.25">
      <c r="B16" s="12"/>
      <c r="D16" s="13" t="s">
        <v>6</v>
      </c>
      <c r="E16" s="13"/>
      <c r="F16" s="14">
        <v>1500</v>
      </c>
      <c r="G16" s="13" t="s">
        <v>7</v>
      </c>
    </row>
    <row r="17" spans="2:15" x14ac:dyDescent="0.25">
      <c r="B17" s="12"/>
    </row>
    <row r="18" spans="2:15" x14ac:dyDescent="0.25">
      <c r="B18" s="12"/>
      <c r="D18" s="15"/>
      <c r="E18" s="15"/>
      <c r="F18" s="243" t="s">
        <v>8</v>
      </c>
      <c r="G18" s="244"/>
      <c r="H18" s="245"/>
      <c r="J18" s="243" t="s">
        <v>9</v>
      </c>
      <c r="K18" s="244"/>
      <c r="L18" s="245"/>
      <c r="N18" s="243" t="s">
        <v>10</v>
      </c>
      <c r="O18" s="245"/>
    </row>
    <row r="19" spans="2:15" x14ac:dyDescent="0.25">
      <c r="B19" s="12"/>
      <c r="D19" s="234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236" t="s">
        <v>15</v>
      </c>
      <c r="O19" s="238" t="s">
        <v>16</v>
      </c>
    </row>
    <row r="20" spans="2:15" x14ac:dyDescent="0.25">
      <c r="B20" s="12"/>
      <c r="D20" s="235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237"/>
      <c r="O20" s="239"/>
    </row>
    <row r="21" spans="2:15" ht="22.5" customHeight="1" x14ac:dyDescent="0.25">
      <c r="B21" s="22" t="s">
        <v>18</v>
      </c>
      <c r="C21" s="22"/>
      <c r="D21" s="23" t="s">
        <v>60</v>
      </c>
      <c r="E21" s="24"/>
      <c r="F21" s="174">
        <f>'[2]2014 Existing Rates'!$C$6</f>
        <v>14.64</v>
      </c>
      <c r="G21" s="26">
        <v>1</v>
      </c>
      <c r="H21" s="27">
        <f>G21*F21</f>
        <v>14.64</v>
      </c>
      <c r="I21" s="28"/>
      <c r="J21" s="173">
        <f>'[2]Rate Schedule '!$E$10</f>
        <v>16.73</v>
      </c>
      <c r="K21" s="30">
        <v>1</v>
      </c>
      <c r="L21" s="27">
        <f>K21*J21</f>
        <v>16.73</v>
      </c>
      <c r="M21" s="28"/>
      <c r="N21" s="31">
        <f>L21-H21</f>
        <v>2.09</v>
      </c>
      <c r="O21" s="32">
        <f>IF((H21)=0,"",(N21/H21))</f>
        <v>0.14275956284153005</v>
      </c>
    </row>
    <row r="22" spans="2:15" ht="36.75" customHeight="1" x14ac:dyDescent="0.25">
      <c r="B22" s="65" t="s">
        <v>80</v>
      </c>
      <c r="C22" s="22"/>
      <c r="D22" s="56" t="s">
        <v>60</v>
      </c>
      <c r="E22" s="24"/>
      <c r="F22" s="173">
        <v>1.33</v>
      </c>
      <c r="G22" s="26">
        <v>1</v>
      </c>
      <c r="H22" s="27">
        <f t="shared" ref="H22:H37" si="0">G22*F22</f>
        <v>1.33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-1.33</v>
      </c>
      <c r="O22" s="32">
        <f>IF((H22)=0,"",(N22/H22))</f>
        <v>-1</v>
      </c>
    </row>
    <row r="23" spans="2:15" ht="36.75" customHeight="1" x14ac:dyDescent="0.25">
      <c r="B23" s="175" t="s">
        <v>63</v>
      </c>
      <c r="C23" s="22"/>
      <c r="D23" s="56" t="s">
        <v>60</v>
      </c>
      <c r="E23" s="57"/>
      <c r="F23" s="173">
        <v>1.37</v>
      </c>
      <c r="G23" s="26">
        <v>1</v>
      </c>
      <c r="H23" s="27">
        <f t="shared" si="0"/>
        <v>1.37</v>
      </c>
      <c r="I23" s="28"/>
      <c r="J23" s="29"/>
      <c r="K23" s="30">
        <v>1</v>
      </c>
      <c r="L23" s="27">
        <f t="shared" ref="L23:L37" si="1">K23*J23</f>
        <v>0</v>
      </c>
      <c r="M23" s="28"/>
      <c r="N23" s="31">
        <f t="shared" ref="N23:N38" si="2">L23-H23</f>
        <v>-1.37</v>
      </c>
      <c r="O23" s="32">
        <f t="shared" ref="O23:O38" si="3">IF((H23)=0,"",(N23/H23))</f>
        <v>-1</v>
      </c>
    </row>
    <row r="24" spans="2:15" x14ac:dyDescent="0.25">
      <c r="B24" s="175" t="s">
        <v>64</v>
      </c>
      <c r="C24" s="22"/>
      <c r="D24" s="23" t="s">
        <v>60</v>
      </c>
      <c r="E24" s="24"/>
      <c r="F24" s="25"/>
      <c r="G24" s="26">
        <v>1</v>
      </c>
      <c r="H24" s="27">
        <f t="shared" si="0"/>
        <v>0</v>
      </c>
      <c r="I24" s="28"/>
      <c r="J24" s="173">
        <f>'[3]Stranded Meter Calc'!$B$103</f>
        <v>0.85</v>
      </c>
      <c r="K24" s="30">
        <v>1</v>
      </c>
      <c r="L24" s="27">
        <f t="shared" si="1"/>
        <v>0.85</v>
      </c>
      <c r="M24" s="28"/>
      <c r="N24" s="31">
        <f t="shared" si="2"/>
        <v>0.85</v>
      </c>
      <c r="O24" s="32" t="str">
        <f t="shared" si="3"/>
        <v/>
      </c>
    </row>
    <row r="25" spans="2:15" x14ac:dyDescent="0.25">
      <c r="B25" s="175" t="s">
        <v>88</v>
      </c>
      <c r="C25" s="22"/>
      <c r="D25" s="23" t="s">
        <v>61</v>
      </c>
      <c r="E25" s="24"/>
      <c r="F25" s="25">
        <v>0</v>
      </c>
      <c r="G25" s="26">
        <f t="shared" ref="G25" si="4">$F$16</f>
        <v>1500</v>
      </c>
      <c r="H25" s="27">
        <f t="shared" si="0"/>
        <v>0</v>
      </c>
      <c r="I25" s="28"/>
      <c r="J25" s="29">
        <f>'[4]6. Rate Rider Calculations'!$F$103</f>
        <v>2.0617237370664865E-4</v>
      </c>
      <c r="K25" s="26">
        <f>$F$16</f>
        <v>1500</v>
      </c>
      <c r="L25" s="27">
        <f t="shared" si="1"/>
        <v>0.30925856055997297</v>
      </c>
      <c r="M25" s="28"/>
      <c r="N25" s="31">
        <f t="shared" si="2"/>
        <v>0.30925856055997297</v>
      </c>
      <c r="O25" s="32" t="str">
        <f t="shared" si="3"/>
        <v/>
      </c>
    </row>
    <row r="26" spans="2:15" x14ac:dyDescent="0.25">
      <c r="B26" s="46" t="s">
        <v>65</v>
      </c>
      <c r="C26" s="22"/>
      <c r="D26" s="23" t="s">
        <v>61</v>
      </c>
      <c r="E26" s="24"/>
      <c r="F26" s="25">
        <v>-2.0000000000000001E-4</v>
      </c>
      <c r="G26" s="26">
        <f>$F$16</f>
        <v>1500</v>
      </c>
      <c r="H26" s="27">
        <f t="shared" si="0"/>
        <v>-0.3</v>
      </c>
      <c r="I26" s="28"/>
      <c r="J26" s="173"/>
      <c r="K26" s="26">
        <f>$F$16</f>
        <v>1500</v>
      </c>
      <c r="L26" s="27">
        <f t="shared" si="1"/>
        <v>0</v>
      </c>
      <c r="M26" s="28"/>
      <c r="N26" s="31">
        <f t="shared" si="2"/>
        <v>0.3</v>
      </c>
      <c r="O26" s="32">
        <f t="shared" si="3"/>
        <v>-1</v>
      </c>
    </row>
    <row r="27" spans="2:15" x14ac:dyDescent="0.25">
      <c r="B27" s="46" t="s">
        <v>66</v>
      </c>
      <c r="C27" s="22"/>
      <c r="D27" s="23" t="s">
        <v>61</v>
      </c>
      <c r="E27" s="24"/>
      <c r="F27" s="25"/>
      <c r="G27" s="26">
        <f>$F$16</f>
        <v>1500</v>
      </c>
      <c r="H27" s="27">
        <f t="shared" si="0"/>
        <v>0</v>
      </c>
      <c r="I27" s="28"/>
      <c r="J27" s="29">
        <f>'[4]6. Rate Rider Calculations'!$F$75</f>
        <v>-7.1014119500589033E-3</v>
      </c>
      <c r="K27" s="26">
        <f>$F$16</f>
        <v>1500</v>
      </c>
      <c r="L27" s="27">
        <f t="shared" si="1"/>
        <v>-10.652117925088355</v>
      </c>
      <c r="M27" s="28"/>
      <c r="N27" s="31">
        <f t="shared" si="2"/>
        <v>-10.652117925088355</v>
      </c>
      <c r="O27" s="32" t="str">
        <f t="shared" si="3"/>
        <v/>
      </c>
    </row>
    <row r="28" spans="2:15" x14ac:dyDescent="0.25">
      <c r="B28" s="22" t="s">
        <v>19</v>
      </c>
      <c r="C28" s="22"/>
      <c r="D28" s="23" t="s">
        <v>61</v>
      </c>
      <c r="E28" s="24"/>
      <c r="F28" s="25">
        <f>'[2]2014 Existing Rates'!$E$6</f>
        <v>1.3100000000000001E-2</v>
      </c>
      <c r="G28" s="26">
        <f>$F$16</f>
        <v>1500</v>
      </c>
      <c r="H28" s="27">
        <f t="shared" si="0"/>
        <v>19.650000000000002</v>
      </c>
      <c r="I28" s="28"/>
      <c r="J28" s="29">
        <f>'[2]Rate Schedule '!$E$11</f>
        <v>1.4999999999999999E-2</v>
      </c>
      <c r="K28" s="26">
        <f>$F$16</f>
        <v>1500</v>
      </c>
      <c r="L28" s="27">
        <f t="shared" si="1"/>
        <v>22.5</v>
      </c>
      <c r="M28" s="28"/>
      <c r="N28" s="31">
        <f t="shared" si="2"/>
        <v>2.8499999999999979</v>
      </c>
      <c r="O28" s="32">
        <f t="shared" si="3"/>
        <v>0.14503816793893118</v>
      </c>
    </row>
    <row r="29" spans="2:15" hidden="1" x14ac:dyDescent="0.25">
      <c r="B29" s="22" t="s">
        <v>20</v>
      </c>
      <c r="C29" s="22"/>
      <c r="D29" s="23"/>
      <c r="E29" s="24"/>
      <c r="F29" s="25"/>
      <c r="G29" s="26">
        <f>$F$16</f>
        <v>1500</v>
      </c>
      <c r="H29" s="27">
        <f t="shared" si="0"/>
        <v>0</v>
      </c>
      <c r="I29" s="28"/>
      <c r="J29" s="29"/>
      <c r="K29" s="26">
        <f t="shared" ref="K29:K37" si="5">$F$16</f>
        <v>1500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idden="1" x14ac:dyDescent="0.25">
      <c r="B30" s="22" t="s">
        <v>21</v>
      </c>
      <c r="C30" s="22"/>
      <c r="D30" s="23"/>
      <c r="E30" s="24"/>
      <c r="F30" s="25"/>
      <c r="G30" s="26">
        <f>$F$16</f>
        <v>1500</v>
      </c>
      <c r="H30" s="27">
        <f t="shared" si="0"/>
        <v>0</v>
      </c>
      <c r="I30" s="28"/>
      <c r="J30" s="29"/>
      <c r="K30" s="26">
        <f t="shared" si="5"/>
        <v>1500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idden="1" x14ac:dyDescent="0.25">
      <c r="B31" s="33"/>
      <c r="C31" s="22"/>
      <c r="D31" s="23"/>
      <c r="E31" s="24"/>
      <c r="F31" s="25"/>
      <c r="G31" s="26">
        <f t="shared" ref="G31:G37" si="6">$F$16</f>
        <v>1500</v>
      </c>
      <c r="H31" s="27">
        <f t="shared" si="0"/>
        <v>0</v>
      </c>
      <c r="I31" s="28"/>
      <c r="J31" s="29"/>
      <c r="K31" s="26">
        <f t="shared" si="5"/>
        <v>1500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idden="1" x14ac:dyDescent="0.25">
      <c r="B32" s="33"/>
      <c r="C32" s="22"/>
      <c r="D32" s="23"/>
      <c r="E32" s="24"/>
      <c r="F32" s="25"/>
      <c r="G32" s="26">
        <f t="shared" si="6"/>
        <v>1500</v>
      </c>
      <c r="H32" s="27">
        <f t="shared" si="0"/>
        <v>0</v>
      </c>
      <c r="I32" s="28"/>
      <c r="J32" s="29"/>
      <c r="K32" s="26">
        <f t="shared" si="5"/>
        <v>1500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idden="1" x14ac:dyDescent="0.25">
      <c r="B33" s="33"/>
      <c r="C33" s="22"/>
      <c r="D33" s="23"/>
      <c r="E33" s="24"/>
      <c r="F33" s="25"/>
      <c r="G33" s="26">
        <f t="shared" si="6"/>
        <v>1500</v>
      </c>
      <c r="H33" s="27">
        <f t="shared" si="0"/>
        <v>0</v>
      </c>
      <c r="I33" s="28"/>
      <c r="J33" s="29"/>
      <c r="K33" s="26">
        <f t="shared" si="5"/>
        <v>1500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idden="1" x14ac:dyDescent="0.25">
      <c r="B34" s="33"/>
      <c r="C34" s="22"/>
      <c r="D34" s="23"/>
      <c r="E34" s="24"/>
      <c r="F34" s="25"/>
      <c r="G34" s="26">
        <f t="shared" si="6"/>
        <v>1500</v>
      </c>
      <c r="H34" s="27">
        <f t="shared" si="0"/>
        <v>0</v>
      </c>
      <c r="I34" s="28"/>
      <c r="J34" s="29"/>
      <c r="K34" s="26">
        <f t="shared" si="5"/>
        <v>1500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idden="1" x14ac:dyDescent="0.25">
      <c r="B35" s="33"/>
      <c r="C35" s="22"/>
      <c r="D35" s="23"/>
      <c r="E35" s="24"/>
      <c r="F35" s="25"/>
      <c r="G35" s="26">
        <f t="shared" si="6"/>
        <v>1500</v>
      </c>
      <c r="H35" s="27">
        <f t="shared" si="0"/>
        <v>0</v>
      </c>
      <c r="I35" s="28"/>
      <c r="J35" s="29"/>
      <c r="K35" s="26">
        <f t="shared" si="5"/>
        <v>1500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idden="1" x14ac:dyDescent="0.25">
      <c r="B36" s="33"/>
      <c r="C36" s="22"/>
      <c r="D36" s="23"/>
      <c r="E36" s="24"/>
      <c r="F36" s="25"/>
      <c r="G36" s="26">
        <f t="shared" si="6"/>
        <v>1500</v>
      </c>
      <c r="H36" s="27">
        <f t="shared" si="0"/>
        <v>0</v>
      </c>
      <c r="I36" s="28"/>
      <c r="J36" s="29"/>
      <c r="K36" s="26">
        <f t="shared" si="5"/>
        <v>1500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hidden="1" x14ac:dyDescent="0.25">
      <c r="B37" s="33"/>
      <c r="C37" s="22"/>
      <c r="D37" s="23"/>
      <c r="E37" s="24"/>
      <c r="F37" s="25"/>
      <c r="G37" s="26">
        <f t="shared" si="6"/>
        <v>1500</v>
      </c>
      <c r="H37" s="27">
        <f t="shared" si="0"/>
        <v>0</v>
      </c>
      <c r="I37" s="28"/>
      <c r="J37" s="29"/>
      <c r="K37" s="26">
        <f t="shared" si="5"/>
        <v>1500</v>
      </c>
      <c r="L37" s="27">
        <f t="shared" si="1"/>
        <v>0</v>
      </c>
      <c r="M37" s="28"/>
      <c r="N37" s="31">
        <f t="shared" si="2"/>
        <v>0</v>
      </c>
      <c r="O37" s="32" t="str">
        <f t="shared" si="3"/>
        <v/>
      </c>
    </row>
    <row r="38" spans="2:15" s="34" customFormat="1" x14ac:dyDescent="0.25">
      <c r="B38" s="35" t="s">
        <v>22</v>
      </c>
      <c r="C38" s="36"/>
      <c r="D38" s="37"/>
      <c r="E38" s="36"/>
      <c r="F38" s="38"/>
      <c r="G38" s="39"/>
      <c r="H38" s="40">
        <f>SUM(H21:H37)</f>
        <v>36.69</v>
      </c>
      <c r="I38" s="41"/>
      <c r="J38" s="42"/>
      <c r="K38" s="43"/>
      <c r="L38" s="40">
        <f>SUM(L21:L37)</f>
        <v>29.737140635471619</v>
      </c>
      <c r="M38" s="41"/>
      <c r="N38" s="44">
        <f t="shared" si="2"/>
        <v>-6.9528593645283792</v>
      </c>
      <c r="O38" s="45">
        <f t="shared" si="3"/>
        <v>-0.18950284449518615</v>
      </c>
    </row>
    <row r="39" spans="2:15" hidden="1" x14ac:dyDescent="0.25">
      <c r="B39" s="175"/>
      <c r="C39" s="22"/>
      <c r="D39" s="56" t="s">
        <v>60</v>
      </c>
      <c r="E39" s="24"/>
      <c r="F39" s="25"/>
      <c r="G39" s="26">
        <v>1</v>
      </c>
      <c r="H39" s="27">
        <f>G39*F39</f>
        <v>0</v>
      </c>
      <c r="I39" s="28"/>
      <c r="J39" s="173"/>
      <c r="K39" s="30">
        <v>1</v>
      </c>
      <c r="L39" s="27">
        <f>K39*J39</f>
        <v>0</v>
      </c>
      <c r="M39" s="28"/>
      <c r="N39" s="31">
        <f>L39-H39</f>
        <v>0</v>
      </c>
      <c r="O39" s="32" t="str">
        <f>IF((H39)=0,"",(N39/H39))</f>
        <v/>
      </c>
    </row>
    <row r="40" spans="2:15" x14ac:dyDescent="0.25">
      <c r="B40" s="46" t="s">
        <v>23</v>
      </c>
      <c r="C40" s="22"/>
      <c r="D40" s="56" t="s">
        <v>61</v>
      </c>
      <c r="E40" s="57"/>
      <c r="F40" s="29">
        <v>-1.8E-3</v>
      </c>
      <c r="G40" s="26">
        <f>$F$16</f>
        <v>1500</v>
      </c>
      <c r="H40" s="27">
        <f t="shared" ref="H40:H46" si="7">G40*F40</f>
        <v>-2.6999999999999997</v>
      </c>
      <c r="I40" s="28"/>
      <c r="J40" s="29">
        <f>'[4]6. Rate Rider Calculations'!$F$20</f>
        <v>-1.0353326935341441E-3</v>
      </c>
      <c r="K40" s="26">
        <f>$F$16</f>
        <v>1500</v>
      </c>
      <c r="L40" s="27">
        <f t="shared" ref="L40:L46" si="8">K40*J40</f>
        <v>-1.5529990403012162</v>
      </c>
      <c r="M40" s="28"/>
      <c r="N40" s="31">
        <f t="shared" ref="N40:N65" si="9">L40-H40</f>
        <v>1.1470009596987836</v>
      </c>
      <c r="O40" s="32">
        <f t="shared" ref="O40:O45" si="10">IF((H40)=0,"",(N40/H40))</f>
        <v>-0.42481517025880877</v>
      </c>
    </row>
    <row r="41" spans="2:15" hidden="1" x14ac:dyDescent="0.25">
      <c r="B41" s="46"/>
      <c r="C41" s="22"/>
      <c r="D41" s="23" t="s">
        <v>61</v>
      </c>
      <c r="E41" s="24"/>
      <c r="F41" s="25"/>
      <c r="G41" s="26">
        <f>$F$16</f>
        <v>1500</v>
      </c>
      <c r="H41" s="27">
        <f t="shared" si="7"/>
        <v>0</v>
      </c>
      <c r="I41" s="47"/>
      <c r="J41" s="29"/>
      <c r="K41" s="26">
        <f>$F$16</f>
        <v>1500</v>
      </c>
      <c r="L41" s="27">
        <f t="shared" si="8"/>
        <v>0</v>
      </c>
      <c r="M41" s="48"/>
      <c r="N41" s="31">
        <f t="shared" si="9"/>
        <v>0</v>
      </c>
      <c r="O41" s="32" t="str">
        <f t="shared" si="10"/>
        <v/>
      </c>
    </row>
    <row r="42" spans="2:15" hidden="1" x14ac:dyDescent="0.25">
      <c r="B42" s="46"/>
      <c r="C42" s="22"/>
      <c r="D42" s="23" t="s">
        <v>61</v>
      </c>
      <c r="E42" s="24"/>
      <c r="F42" s="25"/>
      <c r="G42" s="26">
        <f>$F$16</f>
        <v>1500</v>
      </c>
      <c r="H42" s="27">
        <f t="shared" si="7"/>
        <v>0</v>
      </c>
      <c r="I42" s="47"/>
      <c r="J42" s="29"/>
      <c r="K42" s="26">
        <f>$F$16</f>
        <v>1500</v>
      </c>
      <c r="L42" s="27">
        <f t="shared" si="8"/>
        <v>0</v>
      </c>
      <c r="M42" s="48"/>
      <c r="N42" s="31">
        <f t="shared" si="9"/>
        <v>0</v>
      </c>
      <c r="O42" s="32" t="str">
        <f t="shared" si="10"/>
        <v/>
      </c>
    </row>
    <row r="43" spans="2:15" hidden="1" x14ac:dyDescent="0.25">
      <c r="B43" s="46"/>
      <c r="C43" s="22"/>
      <c r="D43" s="23"/>
      <c r="E43" s="24"/>
      <c r="F43" s="25"/>
      <c r="G43" s="26">
        <f>$F$16</f>
        <v>1500</v>
      </c>
      <c r="H43" s="27">
        <f t="shared" si="7"/>
        <v>0</v>
      </c>
      <c r="I43" s="47"/>
      <c r="J43" s="29"/>
      <c r="K43" s="26">
        <f>$F$16</f>
        <v>1500</v>
      </c>
      <c r="L43" s="27">
        <f t="shared" si="8"/>
        <v>0</v>
      </c>
      <c r="M43" s="48"/>
      <c r="N43" s="31">
        <f t="shared" si="9"/>
        <v>0</v>
      </c>
      <c r="O43" s="32" t="str">
        <f t="shared" si="10"/>
        <v/>
      </c>
    </row>
    <row r="44" spans="2:15" x14ac:dyDescent="0.25">
      <c r="B44" s="49" t="s">
        <v>24</v>
      </c>
      <c r="C44" s="22"/>
      <c r="D44" s="23" t="s">
        <v>61</v>
      </c>
      <c r="E44" s="24"/>
      <c r="F44" s="195">
        <v>4.0000000000000003E-5</v>
      </c>
      <c r="G44" s="26">
        <f>$F$16</f>
        <v>1500</v>
      </c>
      <c r="H44" s="27">
        <f t="shared" si="7"/>
        <v>6.0000000000000005E-2</v>
      </c>
      <c r="I44" s="28"/>
      <c r="J44" s="195">
        <f>'[2]Rate Schedule '!$E$12</f>
        <v>6.9999999999999994E-5</v>
      </c>
      <c r="K44" s="26">
        <f>$F$16</f>
        <v>1500</v>
      </c>
      <c r="L44" s="27">
        <f t="shared" si="8"/>
        <v>0.105</v>
      </c>
      <c r="M44" s="28"/>
      <c r="N44" s="31">
        <f t="shared" si="9"/>
        <v>4.4999999999999991E-2</v>
      </c>
      <c r="O44" s="32">
        <f t="shared" si="10"/>
        <v>0.74999999999999978</v>
      </c>
    </row>
    <row r="45" spans="2:15" s="34" customFormat="1" x14ac:dyDescent="0.25">
      <c r="B45" s="180" t="s">
        <v>25</v>
      </c>
      <c r="C45" s="24"/>
      <c r="D45" s="181" t="s">
        <v>61</v>
      </c>
      <c r="E45" s="24"/>
      <c r="F45" s="182">
        <f>IF(ISBLANK(D14)=TRUE, 0, IF(D14="TOU", 0.64*$F$55+0.18*$F$56+0.18*$F$57, IF(AND(D14="non-TOU", G59&gt;0), F59,F58)))</f>
        <v>9.2460000000000001E-2</v>
      </c>
      <c r="G45" s="26">
        <f>$F$16*(1+$F$74)-$F$16</f>
        <v>72</v>
      </c>
      <c r="H45" s="183">
        <f t="shared" si="7"/>
        <v>6.6571199999999999</v>
      </c>
      <c r="I45" s="57"/>
      <c r="J45" s="184">
        <f>0.64*$F$55+0.18*$F$56+0.18*$F$57</f>
        <v>9.2460000000000001E-2</v>
      </c>
      <c r="K45" s="26">
        <f>$F$16*(1+$J$74)-$F$16</f>
        <v>70.649999999999864</v>
      </c>
      <c r="L45" s="183">
        <f t="shared" si="8"/>
        <v>6.5322989999999876</v>
      </c>
      <c r="M45" s="57"/>
      <c r="N45" s="185">
        <f t="shared" si="9"/>
        <v>-0.12482100000001228</v>
      </c>
      <c r="O45" s="186">
        <f t="shared" si="10"/>
        <v>-1.8750000000001845E-2</v>
      </c>
    </row>
    <row r="46" spans="2:15" x14ac:dyDescent="0.25">
      <c r="B46" s="49" t="s">
        <v>26</v>
      </c>
      <c r="C46" s="22"/>
      <c r="D46" s="23" t="s">
        <v>60</v>
      </c>
      <c r="E46" s="24"/>
      <c r="F46" s="177">
        <v>0.79</v>
      </c>
      <c r="G46" s="26">
        <v>1</v>
      </c>
      <c r="H46" s="27">
        <f t="shared" si="7"/>
        <v>0.79</v>
      </c>
      <c r="I46" s="28"/>
      <c r="J46" s="177">
        <v>0.79</v>
      </c>
      <c r="K46" s="26">
        <v>1</v>
      </c>
      <c r="L46" s="27">
        <f t="shared" si="8"/>
        <v>0.79</v>
      </c>
      <c r="M46" s="28"/>
      <c r="N46" s="31">
        <f t="shared" si="9"/>
        <v>0</v>
      </c>
      <c r="O46" s="32"/>
    </row>
    <row r="47" spans="2:15" ht="25.5" x14ac:dyDescent="0.25">
      <c r="B47" s="50" t="s">
        <v>27</v>
      </c>
      <c r="C47" s="51"/>
      <c r="D47" s="51"/>
      <c r="E47" s="51"/>
      <c r="F47" s="52"/>
      <c r="G47" s="53"/>
      <c r="H47" s="54">
        <f>SUM(H39:H46)+H38</f>
        <v>41.497119999999995</v>
      </c>
      <c r="I47" s="41"/>
      <c r="J47" s="53"/>
      <c r="K47" s="55"/>
      <c r="L47" s="54">
        <f>SUM(L39:L46)+L38</f>
        <v>35.611440595170393</v>
      </c>
      <c r="M47" s="41"/>
      <c r="N47" s="44">
        <f t="shared" si="9"/>
        <v>-5.8856794048296024</v>
      </c>
      <c r="O47" s="45">
        <f t="shared" ref="O47:O65" si="11">IF((H47)=0,"",(N47/H47))</f>
        <v>-0.14183344301555392</v>
      </c>
    </row>
    <row r="48" spans="2:15" x14ac:dyDescent="0.25">
      <c r="B48" s="28" t="s">
        <v>28</v>
      </c>
      <c r="C48" s="28"/>
      <c r="D48" s="56" t="s">
        <v>61</v>
      </c>
      <c r="E48" s="57"/>
      <c r="F48" s="29">
        <v>7.3000000000000001E-3</v>
      </c>
      <c r="G48" s="58">
        <f>F16*(1+F74)</f>
        <v>1572</v>
      </c>
      <c r="H48" s="27">
        <f>G48*F48</f>
        <v>11.4756</v>
      </c>
      <c r="I48" s="28"/>
      <c r="J48" s="29">
        <f>'[5]13. Final 2015 RTS Rates'!$F$26</f>
        <v>7.5166324038951132E-3</v>
      </c>
      <c r="K48" s="59">
        <f>F16*(1+J74)</f>
        <v>1570.6499999999999</v>
      </c>
      <c r="L48" s="27">
        <f>K48*J48</f>
        <v>11.805998685177858</v>
      </c>
      <c r="M48" s="28"/>
      <c r="N48" s="31">
        <f t="shared" si="9"/>
        <v>0.3303986851778582</v>
      </c>
      <c r="O48" s="32">
        <f t="shared" si="11"/>
        <v>2.8791408307875684E-2</v>
      </c>
    </row>
    <row r="49" spans="2:19" x14ac:dyDescent="0.25">
      <c r="B49" s="60" t="s">
        <v>29</v>
      </c>
      <c r="C49" s="28"/>
      <c r="D49" s="56" t="s">
        <v>61</v>
      </c>
      <c r="E49" s="57"/>
      <c r="F49" s="29">
        <v>5.7000000000000002E-3</v>
      </c>
      <c r="G49" s="58">
        <f>G48</f>
        <v>1572</v>
      </c>
      <c r="H49" s="27">
        <f>G49*F49</f>
        <v>8.9603999999999999</v>
      </c>
      <c r="I49" s="28"/>
      <c r="J49" s="29">
        <f>'[5]13. Final 2015 RTS Rates'!$H$26</f>
        <v>5.857883813739073E-3</v>
      </c>
      <c r="K49" s="59">
        <f>K48</f>
        <v>1570.6499999999999</v>
      </c>
      <c r="L49" s="27">
        <f>K49*J49</f>
        <v>9.2006852120492741</v>
      </c>
      <c r="M49" s="28"/>
      <c r="N49" s="31">
        <f t="shared" si="9"/>
        <v>0.24028521204927422</v>
      </c>
      <c r="O49" s="32">
        <f t="shared" si="11"/>
        <v>2.6816348829212338E-2</v>
      </c>
    </row>
    <row r="50" spans="2:19" x14ac:dyDescent="0.25">
      <c r="B50" s="50" t="s">
        <v>30</v>
      </c>
      <c r="C50" s="36"/>
      <c r="D50" s="36"/>
      <c r="E50" s="36"/>
      <c r="F50" s="61"/>
      <c r="G50" s="53"/>
      <c r="H50" s="54">
        <f>SUM(H47:H49)</f>
        <v>61.933119999999995</v>
      </c>
      <c r="I50" s="62"/>
      <c r="J50" s="63"/>
      <c r="K50" s="64"/>
      <c r="L50" s="54">
        <f>SUM(L47:L49)</f>
        <v>56.61812449239752</v>
      </c>
      <c r="M50" s="62"/>
      <c r="N50" s="44">
        <f t="shared" si="9"/>
        <v>-5.3149955076024753</v>
      </c>
      <c r="O50" s="45">
        <f t="shared" si="11"/>
        <v>-8.5818307031883354E-2</v>
      </c>
    </row>
    <row r="51" spans="2:19" x14ac:dyDescent="0.25">
      <c r="B51" s="65" t="s">
        <v>31</v>
      </c>
      <c r="C51" s="22"/>
      <c r="D51" s="23" t="s">
        <v>61</v>
      </c>
      <c r="E51" s="24"/>
      <c r="F51" s="66">
        <v>4.4000000000000003E-3</v>
      </c>
      <c r="G51" s="58">
        <f>G49</f>
        <v>1572</v>
      </c>
      <c r="H51" s="67">
        <f t="shared" ref="H51:H57" si="12">G51*F51</f>
        <v>6.9168000000000003</v>
      </c>
      <c r="I51" s="28"/>
      <c r="J51" s="66">
        <v>4.4000000000000003E-3</v>
      </c>
      <c r="K51" s="59">
        <f>K49</f>
        <v>1570.6499999999999</v>
      </c>
      <c r="L51" s="67">
        <f t="shared" ref="L51:L57" si="13">K51*J51</f>
        <v>6.9108599999999996</v>
      </c>
      <c r="M51" s="28"/>
      <c r="N51" s="31">
        <f t="shared" si="9"/>
        <v>-5.9400000000007225E-3</v>
      </c>
      <c r="O51" s="68">
        <f t="shared" si="11"/>
        <v>-8.5877862595430286E-4</v>
      </c>
    </row>
    <row r="52" spans="2:19" x14ac:dyDescent="0.25">
      <c r="B52" s="65" t="s">
        <v>32</v>
      </c>
      <c r="C52" s="22"/>
      <c r="D52" s="23" t="s">
        <v>61</v>
      </c>
      <c r="E52" s="24"/>
      <c r="F52" s="66">
        <v>1.2999999999999999E-3</v>
      </c>
      <c r="G52" s="58">
        <f>G49</f>
        <v>1572</v>
      </c>
      <c r="H52" s="67">
        <f t="shared" si="12"/>
        <v>2.0436000000000001</v>
      </c>
      <c r="I52" s="28"/>
      <c r="J52" s="66">
        <v>1.2999999999999999E-3</v>
      </c>
      <c r="K52" s="59">
        <f>K49</f>
        <v>1570.6499999999999</v>
      </c>
      <c r="L52" s="67">
        <f t="shared" si="13"/>
        <v>2.0418449999999999</v>
      </c>
      <c r="M52" s="28"/>
      <c r="N52" s="31">
        <f t="shared" si="9"/>
        <v>-1.7550000000001731E-3</v>
      </c>
      <c r="O52" s="68">
        <f t="shared" si="11"/>
        <v>-8.5877862595428313E-4</v>
      </c>
    </row>
    <row r="53" spans="2:19" x14ac:dyDescent="0.25">
      <c r="B53" s="22" t="s">
        <v>33</v>
      </c>
      <c r="C53" s="22"/>
      <c r="D53" s="23" t="s">
        <v>60</v>
      </c>
      <c r="E53" s="24"/>
      <c r="F53" s="176">
        <v>0.25</v>
      </c>
      <c r="G53" s="26">
        <v>1</v>
      </c>
      <c r="H53" s="67">
        <f t="shared" si="12"/>
        <v>0.25</v>
      </c>
      <c r="I53" s="28"/>
      <c r="J53" s="176">
        <v>0.25</v>
      </c>
      <c r="K53" s="30">
        <v>1</v>
      </c>
      <c r="L53" s="67">
        <f t="shared" si="13"/>
        <v>0.25</v>
      </c>
      <c r="M53" s="28"/>
      <c r="N53" s="31">
        <f t="shared" si="9"/>
        <v>0</v>
      </c>
      <c r="O53" s="68">
        <f t="shared" si="11"/>
        <v>0</v>
      </c>
    </row>
    <row r="54" spans="2:19" x14ac:dyDescent="0.25">
      <c r="B54" s="22" t="s">
        <v>34</v>
      </c>
      <c r="C54" s="22"/>
      <c r="D54" s="23" t="s">
        <v>61</v>
      </c>
      <c r="E54" s="24"/>
      <c r="F54" s="66">
        <v>7.0000000000000001E-3</v>
      </c>
      <c r="G54" s="69">
        <f>F16</f>
        <v>1500</v>
      </c>
      <c r="H54" s="67">
        <f t="shared" si="12"/>
        <v>10.5</v>
      </c>
      <c r="I54" s="28"/>
      <c r="J54" s="66">
        <v>7.0000000000000001E-3</v>
      </c>
      <c r="K54" s="70">
        <f>F16</f>
        <v>1500</v>
      </c>
      <c r="L54" s="67">
        <f t="shared" si="13"/>
        <v>10.5</v>
      </c>
      <c r="M54" s="28"/>
      <c r="N54" s="31">
        <f t="shared" si="9"/>
        <v>0</v>
      </c>
      <c r="O54" s="68">
        <f t="shared" si="11"/>
        <v>0</v>
      </c>
    </row>
    <row r="55" spans="2:19" x14ac:dyDescent="0.25">
      <c r="B55" s="49" t="s">
        <v>35</v>
      </c>
      <c r="C55" s="22"/>
      <c r="D55" s="23" t="s">
        <v>61</v>
      </c>
      <c r="E55" s="24"/>
      <c r="F55" s="66">
        <v>7.4999999999999997E-2</v>
      </c>
      <c r="G55" s="69">
        <f>0.64*$F$16</f>
        <v>960</v>
      </c>
      <c r="H55" s="67">
        <f t="shared" si="12"/>
        <v>72</v>
      </c>
      <c r="I55" s="28"/>
      <c r="J55" s="66">
        <v>7.4999999999999997E-2</v>
      </c>
      <c r="K55" s="69">
        <f>G55</f>
        <v>960</v>
      </c>
      <c r="L55" s="67">
        <f t="shared" si="13"/>
        <v>72</v>
      </c>
      <c r="M55" s="28"/>
      <c r="N55" s="31">
        <f t="shared" si="9"/>
        <v>0</v>
      </c>
      <c r="O55" s="68">
        <f t="shared" si="11"/>
        <v>0</v>
      </c>
      <c r="S55" s="72"/>
    </row>
    <row r="56" spans="2:19" x14ac:dyDescent="0.25">
      <c r="B56" s="49" t="s">
        <v>36</v>
      </c>
      <c r="C56" s="22"/>
      <c r="D56" s="23" t="s">
        <v>61</v>
      </c>
      <c r="E56" s="24"/>
      <c r="F56" s="66">
        <v>0.112</v>
      </c>
      <c r="G56" s="69">
        <f>0.18*$F$16</f>
        <v>270</v>
      </c>
      <c r="H56" s="67">
        <f t="shared" si="12"/>
        <v>30.240000000000002</v>
      </c>
      <c r="I56" s="28"/>
      <c r="J56" s="66">
        <v>0.112</v>
      </c>
      <c r="K56" s="69">
        <f>G56</f>
        <v>270</v>
      </c>
      <c r="L56" s="67">
        <f t="shared" si="13"/>
        <v>30.240000000000002</v>
      </c>
      <c r="M56" s="28"/>
      <c r="N56" s="31">
        <f t="shared" si="9"/>
        <v>0</v>
      </c>
      <c r="O56" s="68">
        <f t="shared" si="11"/>
        <v>0</v>
      </c>
      <c r="S56" s="72"/>
    </row>
    <row r="57" spans="2:19" x14ac:dyDescent="0.25">
      <c r="B57" s="12" t="s">
        <v>37</v>
      </c>
      <c r="C57" s="22"/>
      <c r="D57" s="23" t="s">
        <v>61</v>
      </c>
      <c r="E57" s="24"/>
      <c r="F57" s="66">
        <v>0.13500000000000001</v>
      </c>
      <c r="G57" s="69">
        <f>0.18*$F$16</f>
        <v>270</v>
      </c>
      <c r="H57" s="67">
        <f t="shared" si="12"/>
        <v>36.450000000000003</v>
      </c>
      <c r="I57" s="28"/>
      <c r="J57" s="66">
        <v>0.13500000000000001</v>
      </c>
      <c r="K57" s="69">
        <f>G57</f>
        <v>270</v>
      </c>
      <c r="L57" s="67">
        <f t="shared" si="13"/>
        <v>36.450000000000003</v>
      </c>
      <c r="M57" s="28"/>
      <c r="N57" s="31">
        <f t="shared" si="9"/>
        <v>0</v>
      </c>
      <c r="O57" s="68">
        <f t="shared" si="11"/>
        <v>0</v>
      </c>
      <c r="S57" s="72"/>
    </row>
    <row r="58" spans="2:19" s="73" customFormat="1" x14ac:dyDescent="0.2">
      <c r="B58" s="74" t="s">
        <v>38</v>
      </c>
      <c r="C58" s="75"/>
      <c r="D58" s="76" t="s">
        <v>61</v>
      </c>
      <c r="E58" s="77"/>
      <c r="F58" s="66">
        <v>8.5999999999999993E-2</v>
      </c>
      <c r="G58" s="78">
        <f>IF(AND($T$1=1, F16&gt;=600), 600, IF(AND($T$1=1, AND(F16&lt;600, F16&gt;=0)), F16, IF(AND($T$1=2, F16&gt;=1000), 1000, IF(AND($T$1=2, AND(F16&lt;1000, F16&gt;=0)), F16))))</f>
        <v>600</v>
      </c>
      <c r="H58" s="67">
        <f>G58*F58</f>
        <v>51.599999999999994</v>
      </c>
      <c r="I58" s="79"/>
      <c r="J58" s="66">
        <v>8.5999999999999993E-2</v>
      </c>
      <c r="K58" s="78">
        <f>G58</f>
        <v>600</v>
      </c>
      <c r="L58" s="67">
        <f>K58*J58</f>
        <v>51.599999999999994</v>
      </c>
      <c r="M58" s="79"/>
      <c r="N58" s="80">
        <f t="shared" si="9"/>
        <v>0</v>
      </c>
      <c r="O58" s="68">
        <f t="shared" si="11"/>
        <v>0</v>
      </c>
    </row>
    <row r="59" spans="2:19" s="73" customFormat="1" ht="15.75" thickBot="1" x14ac:dyDescent="0.25">
      <c r="B59" s="74" t="s">
        <v>39</v>
      </c>
      <c r="C59" s="75"/>
      <c r="D59" s="76" t="s">
        <v>61</v>
      </c>
      <c r="E59" s="77"/>
      <c r="F59" s="66">
        <v>0.10100000000000001</v>
      </c>
      <c r="G59" s="78">
        <f>IF(AND($T$1=1, F16&gt;=600), F16-600, IF(AND($T$1=1, AND(F16&lt;600, F16&gt;=0)), 0, IF(AND($T$1=2, F16&gt;=1000), F16-1000, IF(AND($T$1=2, AND(F16&lt;1000, F16&gt;=0)), 0))))</f>
        <v>900</v>
      </c>
      <c r="H59" s="67">
        <f>G59*F59</f>
        <v>90.9</v>
      </c>
      <c r="I59" s="79"/>
      <c r="J59" s="66">
        <v>0.10100000000000001</v>
      </c>
      <c r="K59" s="78">
        <f>G59</f>
        <v>900</v>
      </c>
      <c r="L59" s="67">
        <f>K59*J59</f>
        <v>90.9</v>
      </c>
      <c r="M59" s="79"/>
      <c r="N59" s="80">
        <f t="shared" si="9"/>
        <v>0</v>
      </c>
      <c r="O59" s="68">
        <f t="shared" si="11"/>
        <v>0</v>
      </c>
    </row>
    <row r="60" spans="2:19" ht="8.25" customHeight="1" thickBot="1" x14ac:dyDescent="0.3">
      <c r="B60" s="81"/>
      <c r="C60" s="82"/>
      <c r="D60" s="83"/>
      <c r="E60" s="82"/>
      <c r="F60" s="84"/>
      <c r="G60" s="85"/>
      <c r="H60" s="86"/>
      <c r="I60" s="87"/>
      <c r="J60" s="84"/>
      <c r="K60" s="88"/>
      <c r="L60" s="86"/>
      <c r="M60" s="87"/>
      <c r="N60" s="89"/>
      <c r="O60" s="90"/>
    </row>
    <row r="61" spans="2:19" x14ac:dyDescent="0.25">
      <c r="B61" s="91" t="s">
        <v>40</v>
      </c>
      <c r="C61" s="22"/>
      <c r="D61" s="22"/>
      <c r="E61" s="22"/>
      <c r="F61" s="92"/>
      <c r="G61" s="93"/>
      <c r="H61" s="94">
        <f>SUM(H51:H57,H50)</f>
        <v>220.33351999999999</v>
      </c>
      <c r="I61" s="95"/>
      <c r="J61" s="96"/>
      <c r="K61" s="96"/>
      <c r="L61" s="189">
        <f>SUM(L51:L57,L50)</f>
        <v>215.01082949239756</v>
      </c>
      <c r="M61" s="97"/>
      <c r="N61" s="98">
        <f>L61-H61</f>
        <v>-5.3226905076024309</v>
      </c>
      <c r="O61" s="99">
        <f>IF((H61)=0,"",(N61/H61))</f>
        <v>-2.4157425105369491E-2</v>
      </c>
      <c r="S61" s="72"/>
    </row>
    <row r="62" spans="2:19" x14ac:dyDescent="0.25">
      <c r="B62" s="100" t="s">
        <v>41</v>
      </c>
      <c r="C62" s="22"/>
      <c r="D62" s="22"/>
      <c r="E62" s="22"/>
      <c r="F62" s="101">
        <v>0.13</v>
      </c>
      <c r="G62" s="102"/>
      <c r="H62" s="103">
        <f>H61*F62</f>
        <v>28.643357600000002</v>
      </c>
      <c r="I62" s="104"/>
      <c r="J62" s="105">
        <v>0.13</v>
      </c>
      <c r="K62" s="104"/>
      <c r="L62" s="106">
        <f>L61*J62</f>
        <v>27.951407834011682</v>
      </c>
      <c r="M62" s="107"/>
      <c r="N62" s="108">
        <f t="shared" si="9"/>
        <v>-0.69194976598831914</v>
      </c>
      <c r="O62" s="109">
        <f t="shared" si="11"/>
        <v>-2.4157425105369598E-2</v>
      </c>
      <c r="S62" s="72"/>
    </row>
    <row r="63" spans="2:19" x14ac:dyDescent="0.25">
      <c r="B63" s="110" t="s">
        <v>42</v>
      </c>
      <c r="C63" s="22"/>
      <c r="D63" s="22"/>
      <c r="E63" s="22"/>
      <c r="F63" s="111"/>
      <c r="G63" s="102"/>
      <c r="H63" s="103">
        <f>H61+H62</f>
        <v>248.97687759999999</v>
      </c>
      <c r="I63" s="104"/>
      <c r="J63" s="104"/>
      <c r="K63" s="104"/>
      <c r="L63" s="106">
        <f>L61+L62</f>
        <v>242.96223732640925</v>
      </c>
      <c r="M63" s="107"/>
      <c r="N63" s="108">
        <f t="shared" si="9"/>
        <v>-6.0146402735907429</v>
      </c>
      <c r="O63" s="109">
        <f t="shared" si="11"/>
        <v>-2.4157425105369477E-2</v>
      </c>
      <c r="S63" s="72"/>
    </row>
    <row r="64" spans="2:19" ht="15.75" customHeight="1" x14ac:dyDescent="0.25">
      <c r="B64" s="240" t="s">
        <v>43</v>
      </c>
      <c r="C64" s="240"/>
      <c r="D64" s="240"/>
      <c r="E64" s="22"/>
      <c r="F64" s="111"/>
      <c r="G64" s="102"/>
      <c r="H64" s="112">
        <f>ROUND(-H63*10%,2)</f>
        <v>-24.9</v>
      </c>
      <c r="I64" s="104"/>
      <c r="J64" s="104"/>
      <c r="K64" s="104"/>
      <c r="L64" s="113">
        <f>ROUND(-L63*10%,2)</f>
        <v>-24.3</v>
      </c>
      <c r="M64" s="107"/>
      <c r="N64" s="114">
        <f t="shared" si="9"/>
        <v>0.59999999999999787</v>
      </c>
      <c r="O64" s="115">
        <f t="shared" si="11"/>
        <v>-2.4096385542168589E-2</v>
      </c>
    </row>
    <row r="65" spans="1:15" ht="15.75" thickBot="1" x14ac:dyDescent="0.3">
      <c r="B65" s="246" t="s">
        <v>44</v>
      </c>
      <c r="C65" s="246"/>
      <c r="D65" s="246"/>
      <c r="E65" s="116"/>
      <c r="F65" s="117"/>
      <c r="G65" s="118"/>
      <c r="H65" s="119">
        <f>H63+H64</f>
        <v>224.07687759999999</v>
      </c>
      <c r="I65" s="120"/>
      <c r="J65" s="120"/>
      <c r="K65" s="120"/>
      <c r="L65" s="121">
        <f>L63+L64</f>
        <v>218.66223732640924</v>
      </c>
      <c r="M65" s="122"/>
      <c r="N65" s="123">
        <f t="shared" si="9"/>
        <v>-5.4146402735907486</v>
      </c>
      <c r="O65" s="124">
        <f t="shared" si="11"/>
        <v>-2.4164207978908166E-2</v>
      </c>
    </row>
    <row r="66" spans="1:15" s="73" customFormat="1" ht="8.25" customHeight="1" thickBot="1" x14ac:dyDescent="0.25">
      <c r="B66" s="125"/>
      <c r="C66" s="126"/>
      <c r="D66" s="127"/>
      <c r="E66" s="126"/>
      <c r="F66" s="84"/>
      <c r="G66" s="128"/>
      <c r="H66" s="86"/>
      <c r="I66" s="129"/>
      <c r="J66" s="84"/>
      <c r="K66" s="130"/>
      <c r="L66" s="86"/>
      <c r="M66" s="129"/>
      <c r="N66" s="131"/>
      <c r="O66" s="90"/>
    </row>
    <row r="67" spans="1:15" s="73" customFormat="1" ht="12.75" x14ac:dyDescent="0.2">
      <c r="B67" s="132" t="s">
        <v>45</v>
      </c>
      <c r="C67" s="75"/>
      <c r="D67" s="75"/>
      <c r="E67" s="75"/>
      <c r="F67" s="133"/>
      <c r="G67" s="134"/>
      <c r="H67" s="135">
        <f>SUM(H58:H59,H50,H51:H54)</f>
        <v>224.14352</v>
      </c>
      <c r="I67" s="136"/>
      <c r="J67" s="137"/>
      <c r="K67" s="137"/>
      <c r="L67" s="188">
        <f>SUM(L58:L59,L50,L51:L54)</f>
        <v>218.82082949239751</v>
      </c>
      <c r="M67" s="138"/>
      <c r="N67" s="139">
        <f>L67-H67</f>
        <v>-5.3226905076024877</v>
      </c>
      <c r="O67" s="99">
        <f>IF((H67)=0,"",(N67/H67))</f>
        <v>-2.3746796283035478E-2</v>
      </c>
    </row>
    <row r="68" spans="1:15" s="73" customFormat="1" ht="12.75" x14ac:dyDescent="0.2">
      <c r="B68" s="140" t="s">
        <v>41</v>
      </c>
      <c r="C68" s="75"/>
      <c r="D68" s="75"/>
      <c r="E68" s="75"/>
      <c r="F68" s="141">
        <v>0.13</v>
      </c>
      <c r="G68" s="134"/>
      <c r="H68" s="142">
        <f>H67*F68</f>
        <v>29.138657600000002</v>
      </c>
      <c r="I68" s="143"/>
      <c r="J68" s="144">
        <v>0.13</v>
      </c>
      <c r="K68" s="145"/>
      <c r="L68" s="146">
        <f>L67*J68</f>
        <v>28.446707834011676</v>
      </c>
      <c r="M68" s="147"/>
      <c r="N68" s="148">
        <f>L68-H68</f>
        <v>-0.69194976598832625</v>
      </c>
      <c r="O68" s="109">
        <f>IF((H68)=0,"",(N68/H68))</f>
        <v>-2.3746796283035571E-2</v>
      </c>
    </row>
    <row r="69" spans="1:15" s="73" customFormat="1" ht="12.75" x14ac:dyDescent="0.2">
      <c r="B69" s="149" t="s">
        <v>42</v>
      </c>
      <c r="C69" s="75"/>
      <c r="D69" s="75"/>
      <c r="E69" s="75"/>
      <c r="F69" s="150"/>
      <c r="G69" s="151"/>
      <c r="H69" s="142">
        <f>H67+H68</f>
        <v>253.28217760000001</v>
      </c>
      <c r="I69" s="143"/>
      <c r="J69" s="143"/>
      <c r="K69" s="143"/>
      <c r="L69" s="146">
        <f>L67+L68</f>
        <v>247.26753732640918</v>
      </c>
      <c r="M69" s="147"/>
      <c r="N69" s="148">
        <f>L69-H69</f>
        <v>-6.0146402735908282</v>
      </c>
      <c r="O69" s="109">
        <f>IF((H69)=0,"",(N69/H69))</f>
        <v>-2.374679628303554E-2</v>
      </c>
    </row>
    <row r="70" spans="1:15" s="73" customFormat="1" ht="15.75" customHeight="1" x14ac:dyDescent="0.2">
      <c r="B70" s="241" t="s">
        <v>43</v>
      </c>
      <c r="C70" s="241"/>
      <c r="D70" s="241"/>
      <c r="E70" s="75"/>
      <c r="F70" s="150"/>
      <c r="G70" s="151"/>
      <c r="H70" s="152">
        <f>ROUND(-H69*10%,2)</f>
        <v>-25.33</v>
      </c>
      <c r="I70" s="143"/>
      <c r="J70" s="143"/>
      <c r="K70" s="143"/>
      <c r="L70" s="153">
        <f>ROUND(-L69*10%,2)</f>
        <v>-24.73</v>
      </c>
      <c r="M70" s="147"/>
      <c r="N70" s="154">
        <f>L70-H70</f>
        <v>0.59999999999999787</v>
      </c>
      <c r="O70" s="115">
        <f>IF((H70)=0,"",(N70/H70))</f>
        <v>-2.368732727990517E-2</v>
      </c>
    </row>
    <row r="71" spans="1:15" s="73" customFormat="1" ht="13.5" thickBot="1" x14ac:dyDescent="0.25">
      <c r="B71" s="233" t="s">
        <v>46</v>
      </c>
      <c r="C71" s="233"/>
      <c r="D71" s="233"/>
      <c r="E71" s="155"/>
      <c r="F71" s="156"/>
      <c r="G71" s="157"/>
      <c r="H71" s="158">
        <f>SUM(H69:H70)</f>
        <v>227.95217760000003</v>
      </c>
      <c r="I71" s="159"/>
      <c r="J71" s="159"/>
      <c r="K71" s="159"/>
      <c r="L71" s="160">
        <f>SUM(L69:L70)</f>
        <v>222.53753732640919</v>
      </c>
      <c r="M71" s="161"/>
      <c r="N71" s="162">
        <f>L71-H71</f>
        <v>-5.4146402735908339</v>
      </c>
      <c r="O71" s="163">
        <f>IF((H71)=0,"",(N71/H71))</f>
        <v>-2.3753404466669299E-2</v>
      </c>
    </row>
    <row r="72" spans="1:15" s="73" customFormat="1" ht="8.25" customHeight="1" thickBot="1" x14ac:dyDescent="0.25">
      <c r="B72" s="125"/>
      <c r="C72" s="126"/>
      <c r="D72" s="127"/>
      <c r="E72" s="126"/>
      <c r="F72" s="164"/>
      <c r="G72" s="165"/>
      <c r="H72" s="166"/>
      <c r="I72" s="167"/>
      <c r="J72" s="164"/>
      <c r="K72" s="128"/>
      <c r="L72" s="168"/>
      <c r="M72" s="129"/>
      <c r="N72" s="169"/>
      <c r="O72" s="90"/>
    </row>
    <row r="73" spans="1:15" ht="10.5" customHeight="1" x14ac:dyDescent="0.25">
      <c r="L73" s="72"/>
    </row>
    <row r="74" spans="1:15" x14ac:dyDescent="0.25">
      <c r="B74" s="13" t="s">
        <v>47</v>
      </c>
      <c r="F74" s="170">
        <v>4.8000000000000001E-2</v>
      </c>
      <c r="J74" s="170">
        <f>'Res (100kWh)'!$J$74</f>
        <v>4.7100000000000003E-2</v>
      </c>
    </row>
    <row r="75" spans="1:15" ht="10.5" customHeight="1" x14ac:dyDescent="0.25"/>
    <row r="76" spans="1:15" x14ac:dyDescent="0.25">
      <c r="A76" s="171" t="s">
        <v>48</v>
      </c>
    </row>
    <row r="77" spans="1:15" ht="10.5" customHeight="1" x14ac:dyDescent="0.25"/>
    <row r="78" spans="1:15" x14ac:dyDescent="0.25">
      <c r="A78" s="7" t="s">
        <v>49</v>
      </c>
    </row>
    <row r="79" spans="1:15" x14ac:dyDescent="0.25">
      <c r="A79" s="7" t="s">
        <v>50</v>
      </c>
    </row>
    <row r="81" spans="1:2" x14ac:dyDescent="0.25">
      <c r="A81" s="12" t="s">
        <v>51</v>
      </c>
    </row>
    <row r="82" spans="1:2" x14ac:dyDescent="0.25">
      <c r="A82" s="12" t="s">
        <v>52</v>
      </c>
    </row>
    <row r="84" spans="1:2" x14ac:dyDescent="0.25">
      <c r="A84" s="7" t="s">
        <v>53</v>
      </c>
    </row>
    <row r="85" spans="1:2" x14ac:dyDescent="0.25">
      <c r="A85" s="7" t="s">
        <v>54</v>
      </c>
    </row>
    <row r="86" spans="1:2" x14ac:dyDescent="0.25">
      <c r="A86" s="7" t="s">
        <v>55</v>
      </c>
    </row>
    <row r="87" spans="1:2" x14ac:dyDescent="0.25">
      <c r="A87" s="7" t="s">
        <v>56</v>
      </c>
    </row>
    <row r="88" spans="1:2" x14ac:dyDescent="0.25">
      <c r="A88" s="7" t="s">
        <v>57</v>
      </c>
    </row>
    <row r="90" spans="1:2" x14ac:dyDescent="0.25">
      <c r="A90" s="172"/>
      <c r="B90" s="7" t="s">
        <v>58</v>
      </c>
    </row>
  </sheetData>
  <mergeCells count="17">
    <mergeCell ref="B64:D64"/>
    <mergeCell ref="B65:D65"/>
    <mergeCell ref="B70:D70"/>
    <mergeCell ref="B71:D71"/>
    <mergeCell ref="D12:O12"/>
    <mergeCell ref="F18:H18"/>
    <mergeCell ref="J18:L18"/>
    <mergeCell ref="N18:O18"/>
    <mergeCell ref="D19:D20"/>
    <mergeCell ref="N19:N20"/>
    <mergeCell ref="O19:O20"/>
    <mergeCell ref="B9:O9"/>
    <mergeCell ref="N1:O1"/>
    <mergeCell ref="N2:O2"/>
    <mergeCell ref="N3:O3"/>
    <mergeCell ref="N5:O5"/>
    <mergeCell ref="B8:O8"/>
  </mergeCells>
  <dataValidations count="3">
    <dataValidation type="list" allowBlank="1" showInputMessage="1" showErrorMessage="1" sqref="E48:E49 E51:E60 E39:E46 E66 E72 E21:E37">
      <formula1>#REF!</formula1>
    </dataValidation>
    <dataValidation type="list" allowBlank="1" showInputMessage="1" showErrorMessage="1" prompt="Select Charge Unit - monthly, per kWh, per kW" sqref="D48:D49 D66 D72 D51:D60 D39:D46 D21:D37">
      <formula1>"Monthly, per kWh, per kW"</formula1>
    </dataValidation>
    <dataValidation type="list" allowBlank="1" showInputMessage="1" showErrorMessage="1" sqref="D14">
      <formula1>"TOU, non-TOU"</formula1>
    </dataValidation>
  </dataValidations>
  <pageMargins left="0.7" right="0.7" top="0.75" bottom="0.75" header="0.3" footer="0.3"/>
  <pageSetup scale="59" fitToHeight="0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theme="0" tint="-0.14999847407452621"/>
    <pageSetUpPr fitToPage="1"/>
  </sheetPr>
  <dimension ref="A1:T90"/>
  <sheetViews>
    <sheetView showGridLines="0" workbookViewId="0">
      <selection activeCell="L1" sqref="L1:O5"/>
    </sheetView>
  </sheetViews>
  <sheetFormatPr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8.5703125" style="7" customWidth="1"/>
    <col min="8" max="8" width="9.7109375" style="7" customWidth="1"/>
    <col min="9" max="9" width="2.85546875" style="7" customWidth="1"/>
    <col min="10" max="10" width="12.140625" style="7" customWidth="1"/>
    <col min="11" max="11" width="8.5703125" style="7" customWidth="1"/>
    <col min="12" max="12" width="9.7109375" style="7" customWidth="1"/>
    <col min="13" max="13" width="2.85546875" style="7" customWidth="1"/>
    <col min="14" max="14" width="11.5703125" style="7" customWidth="1"/>
    <col min="15" max="15" width="10.85546875" style="7" bestFit="1" customWidth="1"/>
    <col min="16" max="16" width="6.4257812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248" t="str">
        <f>'Res (100kWh)'!$N$1:$O$1</f>
        <v>EB-2014-0099</v>
      </c>
      <c r="O1" s="248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94</v>
      </c>
      <c r="N2" s="249">
        <f>'Res (100kWh)'!$N$2:$O$2</f>
        <v>8</v>
      </c>
      <c r="O2" s="249"/>
    </row>
    <row r="3" spans="1:20" s="2" customFormat="1" ht="15" customHeight="1" x14ac:dyDescent="0.25">
      <c r="C3" s="6"/>
      <c r="D3" s="6"/>
      <c r="E3" s="6"/>
      <c r="L3" s="3" t="s">
        <v>95</v>
      </c>
      <c r="N3" s="248" t="str">
        <f>'Res (100kWh)'!$N$3:$O$3</f>
        <v>8-B</v>
      </c>
      <c r="O3" s="248"/>
    </row>
    <row r="4" spans="1:20" s="2" customFormat="1" ht="9" customHeight="1" x14ac:dyDescent="0.25">
      <c r="L4" s="3"/>
      <c r="N4" s="232"/>
      <c r="O4"/>
    </row>
    <row r="5" spans="1:20" s="2" customFormat="1" x14ac:dyDescent="0.25">
      <c r="L5" s="3" t="s">
        <v>75</v>
      </c>
      <c r="N5" s="248">
        <f>'Res (100kWh)'!$N$5:$O$5</f>
        <v>42118</v>
      </c>
      <c r="O5" s="248"/>
    </row>
    <row r="6" spans="1:20" s="2" customFormat="1" ht="15" customHeight="1" x14ac:dyDescent="0.25">
      <c r="N6" s="7"/>
      <c r="O6"/>
      <c r="P6"/>
    </row>
    <row r="7" spans="1:20" ht="7.5" customHeight="1" x14ac:dyDescent="0.25">
      <c r="L7"/>
      <c r="M7"/>
      <c r="N7"/>
      <c r="O7"/>
      <c r="P7"/>
    </row>
    <row r="8" spans="1:20" ht="18.75" customHeight="1" x14ac:dyDescent="0.25">
      <c r="B8" s="247" t="s">
        <v>1</v>
      </c>
      <c r="C8" s="247"/>
      <c r="D8" s="247"/>
      <c r="E8" s="247"/>
      <c r="F8" s="247"/>
      <c r="G8" s="247"/>
      <c r="H8" s="247"/>
      <c r="I8" s="247"/>
      <c r="J8" s="247"/>
      <c r="K8" s="247"/>
      <c r="L8" s="247"/>
      <c r="M8" s="247"/>
      <c r="N8" s="247"/>
      <c r="O8" s="247"/>
      <c r="P8"/>
    </row>
    <row r="9" spans="1:20" ht="18.75" customHeight="1" x14ac:dyDescent="0.25">
      <c r="B9" s="247" t="s">
        <v>2</v>
      </c>
      <c r="C9" s="247"/>
      <c r="D9" s="247"/>
      <c r="E9" s="247"/>
      <c r="F9" s="247"/>
      <c r="G9" s="247"/>
      <c r="H9" s="247"/>
      <c r="I9" s="247"/>
      <c r="J9" s="247"/>
      <c r="K9" s="247"/>
      <c r="L9" s="247"/>
      <c r="M9" s="247"/>
      <c r="N9" s="247"/>
      <c r="O9" s="247"/>
      <c r="P9"/>
    </row>
    <row r="10" spans="1:20" ht="7.5" customHeight="1" x14ac:dyDescent="0.25">
      <c r="L10"/>
      <c r="M10"/>
      <c r="N10"/>
      <c r="O10"/>
      <c r="P10"/>
    </row>
    <row r="11" spans="1:20" ht="7.5" customHeight="1" x14ac:dyDescent="0.25">
      <c r="L11"/>
      <c r="M11"/>
      <c r="N11"/>
      <c r="O11"/>
      <c r="P11"/>
    </row>
    <row r="12" spans="1:20" ht="15.75" x14ac:dyDescent="0.25">
      <c r="B12" s="8" t="s">
        <v>3</v>
      </c>
      <c r="D12" s="242" t="s">
        <v>59</v>
      </c>
      <c r="E12" s="242"/>
      <c r="F12" s="242"/>
      <c r="G12" s="242"/>
      <c r="H12" s="242"/>
      <c r="I12" s="242"/>
      <c r="J12" s="242"/>
      <c r="K12" s="242"/>
      <c r="L12" s="242"/>
      <c r="M12" s="242"/>
      <c r="N12" s="242"/>
      <c r="O12" s="242"/>
    </row>
    <row r="13" spans="1:20" ht="7.5" customHeight="1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5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x14ac:dyDescent="0.25">
      <c r="B16" s="12"/>
      <c r="D16" s="13" t="s">
        <v>6</v>
      </c>
      <c r="E16" s="13"/>
      <c r="F16" s="14">
        <v>2000</v>
      </c>
      <c r="G16" s="13" t="s">
        <v>7</v>
      </c>
    </row>
    <row r="17" spans="2:15" x14ac:dyDescent="0.25">
      <c r="B17" s="12"/>
    </row>
    <row r="18" spans="2:15" x14ac:dyDescent="0.25">
      <c r="B18" s="12"/>
      <c r="D18" s="15"/>
      <c r="E18" s="15"/>
      <c r="F18" s="243" t="s">
        <v>8</v>
      </c>
      <c r="G18" s="244"/>
      <c r="H18" s="245"/>
      <c r="J18" s="243" t="s">
        <v>9</v>
      </c>
      <c r="K18" s="244"/>
      <c r="L18" s="245"/>
      <c r="N18" s="243" t="s">
        <v>10</v>
      </c>
      <c r="O18" s="245"/>
    </row>
    <row r="19" spans="2:15" x14ac:dyDescent="0.25">
      <c r="B19" s="12"/>
      <c r="D19" s="234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236" t="s">
        <v>15</v>
      </c>
      <c r="O19" s="238" t="s">
        <v>16</v>
      </c>
    </row>
    <row r="20" spans="2:15" x14ac:dyDescent="0.25">
      <c r="B20" s="12"/>
      <c r="D20" s="235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237"/>
      <c r="O20" s="239"/>
    </row>
    <row r="21" spans="2:15" ht="22.5" customHeight="1" x14ac:dyDescent="0.25">
      <c r="B21" s="22" t="s">
        <v>18</v>
      </c>
      <c r="C21" s="22"/>
      <c r="D21" s="23" t="s">
        <v>60</v>
      </c>
      <c r="E21" s="24"/>
      <c r="F21" s="174">
        <f>'[2]2014 Existing Rates'!$C$6</f>
        <v>14.64</v>
      </c>
      <c r="G21" s="26">
        <v>1</v>
      </c>
      <c r="H21" s="27">
        <f>G21*F21</f>
        <v>14.64</v>
      </c>
      <c r="I21" s="28"/>
      <c r="J21" s="173">
        <f>'[2]Rate Schedule '!$E$10</f>
        <v>16.73</v>
      </c>
      <c r="K21" s="30">
        <v>1</v>
      </c>
      <c r="L21" s="27">
        <f>K21*J21</f>
        <v>16.73</v>
      </c>
      <c r="M21" s="28"/>
      <c r="N21" s="31">
        <f>L21-H21</f>
        <v>2.09</v>
      </c>
      <c r="O21" s="32">
        <f>IF((H21)=0,"",(N21/H21))</f>
        <v>0.14275956284153005</v>
      </c>
    </row>
    <row r="22" spans="2:15" ht="36.75" customHeight="1" x14ac:dyDescent="0.25">
      <c r="B22" s="65" t="s">
        <v>80</v>
      </c>
      <c r="C22" s="22"/>
      <c r="D22" s="56" t="s">
        <v>60</v>
      </c>
      <c r="E22" s="24"/>
      <c r="F22" s="173">
        <v>1.33</v>
      </c>
      <c r="G22" s="26">
        <v>1</v>
      </c>
      <c r="H22" s="27">
        <f t="shared" ref="H22:H37" si="0">G22*F22</f>
        <v>1.33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-1.33</v>
      </c>
      <c r="O22" s="32">
        <f>IF((H22)=0,"",(N22/H22))</f>
        <v>-1</v>
      </c>
    </row>
    <row r="23" spans="2:15" ht="36.75" customHeight="1" x14ac:dyDescent="0.25">
      <c r="B23" s="175" t="s">
        <v>63</v>
      </c>
      <c r="C23" s="22"/>
      <c r="D23" s="56" t="s">
        <v>60</v>
      </c>
      <c r="E23" s="57"/>
      <c r="F23" s="173">
        <v>1.37</v>
      </c>
      <c r="G23" s="26">
        <v>1</v>
      </c>
      <c r="H23" s="27">
        <f t="shared" si="0"/>
        <v>1.37</v>
      </c>
      <c r="I23" s="28"/>
      <c r="J23" s="29"/>
      <c r="K23" s="30">
        <v>1</v>
      </c>
      <c r="L23" s="27">
        <f t="shared" ref="L23:L37" si="1">K23*J23</f>
        <v>0</v>
      </c>
      <c r="M23" s="28"/>
      <c r="N23" s="31">
        <f t="shared" ref="N23:N38" si="2">L23-H23</f>
        <v>-1.37</v>
      </c>
      <c r="O23" s="32">
        <f t="shared" ref="O23:O38" si="3">IF((H23)=0,"",(N23/H23))</f>
        <v>-1</v>
      </c>
    </row>
    <row r="24" spans="2:15" x14ac:dyDescent="0.25">
      <c r="B24" s="175" t="s">
        <v>64</v>
      </c>
      <c r="C24" s="22"/>
      <c r="D24" s="23" t="s">
        <v>60</v>
      </c>
      <c r="E24" s="24"/>
      <c r="F24" s="25"/>
      <c r="G24" s="26">
        <v>1</v>
      </c>
      <c r="H24" s="27">
        <f t="shared" si="0"/>
        <v>0</v>
      </c>
      <c r="I24" s="28"/>
      <c r="J24" s="173">
        <f>'[3]Stranded Meter Calc'!$B$103</f>
        <v>0.85</v>
      </c>
      <c r="K24" s="30">
        <v>1</v>
      </c>
      <c r="L24" s="27">
        <f t="shared" si="1"/>
        <v>0.85</v>
      </c>
      <c r="M24" s="28"/>
      <c r="N24" s="31">
        <f t="shared" si="2"/>
        <v>0.85</v>
      </c>
      <c r="O24" s="32" t="str">
        <f t="shared" si="3"/>
        <v/>
      </c>
    </row>
    <row r="25" spans="2:15" x14ac:dyDescent="0.25">
      <c r="B25" s="175" t="s">
        <v>88</v>
      </c>
      <c r="C25" s="22"/>
      <c r="D25" s="23" t="s">
        <v>61</v>
      </c>
      <c r="E25" s="24"/>
      <c r="F25" s="25">
        <v>0</v>
      </c>
      <c r="G25" s="26">
        <f t="shared" ref="G25" si="4">$F$16</f>
        <v>2000</v>
      </c>
      <c r="H25" s="27">
        <f t="shared" si="0"/>
        <v>0</v>
      </c>
      <c r="I25" s="28"/>
      <c r="J25" s="29">
        <f>'[4]6. Rate Rider Calculations'!$F$103</f>
        <v>2.0617237370664865E-4</v>
      </c>
      <c r="K25" s="26">
        <f>$F$16</f>
        <v>2000</v>
      </c>
      <c r="L25" s="27">
        <f t="shared" si="1"/>
        <v>0.4123447474132973</v>
      </c>
      <c r="M25" s="28"/>
      <c r="N25" s="31">
        <f t="shared" si="2"/>
        <v>0.4123447474132973</v>
      </c>
      <c r="O25" s="32" t="str">
        <f t="shared" si="3"/>
        <v/>
      </c>
    </row>
    <row r="26" spans="2:15" x14ac:dyDescent="0.25">
      <c r="B26" s="46" t="s">
        <v>65</v>
      </c>
      <c r="C26" s="22"/>
      <c r="D26" s="23" t="s">
        <v>61</v>
      </c>
      <c r="E26" s="24"/>
      <c r="F26" s="25">
        <v>-2.0000000000000001E-4</v>
      </c>
      <c r="G26" s="26">
        <f>$F$16</f>
        <v>2000</v>
      </c>
      <c r="H26" s="27">
        <f t="shared" si="0"/>
        <v>-0.4</v>
      </c>
      <c r="I26" s="28"/>
      <c r="J26" s="173"/>
      <c r="K26" s="26">
        <f>$F$16</f>
        <v>2000</v>
      </c>
      <c r="L26" s="27">
        <f t="shared" si="1"/>
        <v>0</v>
      </c>
      <c r="M26" s="28"/>
      <c r="N26" s="31">
        <f t="shared" si="2"/>
        <v>0.4</v>
      </c>
      <c r="O26" s="32">
        <f t="shared" si="3"/>
        <v>-1</v>
      </c>
    </row>
    <row r="27" spans="2:15" x14ac:dyDescent="0.25">
      <c r="B27" s="46" t="s">
        <v>66</v>
      </c>
      <c r="C27" s="22"/>
      <c r="D27" s="23" t="s">
        <v>61</v>
      </c>
      <c r="E27" s="24"/>
      <c r="F27" s="25"/>
      <c r="G27" s="26">
        <f>$F$16</f>
        <v>2000</v>
      </c>
      <c r="H27" s="27">
        <f t="shared" si="0"/>
        <v>0</v>
      </c>
      <c r="I27" s="28"/>
      <c r="J27" s="29">
        <f>'[4]6. Rate Rider Calculations'!$F$75</f>
        <v>-7.1014119500589033E-3</v>
      </c>
      <c r="K27" s="26">
        <f>$F$16</f>
        <v>2000</v>
      </c>
      <c r="L27" s="27">
        <f t="shared" si="1"/>
        <v>-14.202823900117806</v>
      </c>
      <c r="M27" s="28"/>
      <c r="N27" s="31">
        <f t="shared" si="2"/>
        <v>-14.202823900117806</v>
      </c>
      <c r="O27" s="32" t="str">
        <f t="shared" si="3"/>
        <v/>
      </c>
    </row>
    <row r="28" spans="2:15" x14ac:dyDescent="0.25">
      <c r="B28" s="22" t="s">
        <v>19</v>
      </c>
      <c r="C28" s="22"/>
      <c r="D28" s="23" t="s">
        <v>61</v>
      </c>
      <c r="E28" s="24"/>
      <c r="F28" s="25">
        <f>'[2]2014 Existing Rates'!$E$6</f>
        <v>1.3100000000000001E-2</v>
      </c>
      <c r="G28" s="26">
        <f>$F$16</f>
        <v>2000</v>
      </c>
      <c r="H28" s="27">
        <f t="shared" si="0"/>
        <v>26.200000000000003</v>
      </c>
      <c r="I28" s="28"/>
      <c r="J28" s="29">
        <f>'[2]Rate Schedule '!$E$11</f>
        <v>1.4999999999999999E-2</v>
      </c>
      <c r="K28" s="26">
        <f>$F$16</f>
        <v>2000</v>
      </c>
      <c r="L28" s="27">
        <f t="shared" si="1"/>
        <v>30</v>
      </c>
      <c r="M28" s="28"/>
      <c r="N28" s="31">
        <f t="shared" si="2"/>
        <v>3.7999999999999972</v>
      </c>
      <c r="O28" s="32">
        <f t="shared" si="3"/>
        <v>0.14503816793893118</v>
      </c>
    </row>
    <row r="29" spans="2:15" hidden="1" x14ac:dyDescent="0.25">
      <c r="B29" s="22" t="s">
        <v>20</v>
      </c>
      <c r="C29" s="22"/>
      <c r="D29" s="23"/>
      <c r="E29" s="24"/>
      <c r="F29" s="25"/>
      <c r="G29" s="26">
        <f>$F$16</f>
        <v>2000</v>
      </c>
      <c r="H29" s="27">
        <f t="shared" si="0"/>
        <v>0</v>
      </c>
      <c r="I29" s="28"/>
      <c r="J29" s="29"/>
      <c r="K29" s="26">
        <f t="shared" ref="K29:K37" si="5">$F$16</f>
        <v>2000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idden="1" x14ac:dyDescent="0.25">
      <c r="B30" s="22" t="s">
        <v>21</v>
      </c>
      <c r="C30" s="22"/>
      <c r="D30" s="23"/>
      <c r="E30" s="24"/>
      <c r="F30" s="25"/>
      <c r="G30" s="26">
        <f>$F$16</f>
        <v>2000</v>
      </c>
      <c r="H30" s="27">
        <f t="shared" si="0"/>
        <v>0</v>
      </c>
      <c r="I30" s="28"/>
      <c r="J30" s="29"/>
      <c r="K30" s="26">
        <f t="shared" si="5"/>
        <v>2000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idden="1" x14ac:dyDescent="0.25">
      <c r="B31" s="33"/>
      <c r="C31" s="22"/>
      <c r="D31" s="23"/>
      <c r="E31" s="24"/>
      <c r="F31" s="25"/>
      <c r="G31" s="26">
        <f t="shared" ref="G31:G37" si="6">$F$16</f>
        <v>2000</v>
      </c>
      <c r="H31" s="27">
        <f t="shared" si="0"/>
        <v>0</v>
      </c>
      <c r="I31" s="28"/>
      <c r="J31" s="29"/>
      <c r="K31" s="26">
        <f t="shared" si="5"/>
        <v>2000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idden="1" x14ac:dyDescent="0.25">
      <c r="B32" s="33"/>
      <c r="C32" s="22"/>
      <c r="D32" s="23"/>
      <c r="E32" s="24"/>
      <c r="F32" s="25"/>
      <c r="G32" s="26">
        <f t="shared" si="6"/>
        <v>2000</v>
      </c>
      <c r="H32" s="27">
        <f t="shared" si="0"/>
        <v>0</v>
      </c>
      <c r="I32" s="28"/>
      <c r="J32" s="29"/>
      <c r="K32" s="26">
        <f t="shared" si="5"/>
        <v>2000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idden="1" x14ac:dyDescent="0.25">
      <c r="B33" s="33"/>
      <c r="C33" s="22"/>
      <c r="D33" s="23"/>
      <c r="E33" s="24"/>
      <c r="F33" s="25"/>
      <c r="G33" s="26">
        <f t="shared" si="6"/>
        <v>2000</v>
      </c>
      <c r="H33" s="27">
        <f t="shared" si="0"/>
        <v>0</v>
      </c>
      <c r="I33" s="28"/>
      <c r="J33" s="29"/>
      <c r="K33" s="26">
        <f t="shared" si="5"/>
        <v>2000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idden="1" x14ac:dyDescent="0.25">
      <c r="B34" s="33"/>
      <c r="C34" s="22"/>
      <c r="D34" s="23"/>
      <c r="E34" s="24"/>
      <c r="F34" s="25"/>
      <c r="G34" s="26">
        <f t="shared" si="6"/>
        <v>2000</v>
      </c>
      <c r="H34" s="27">
        <f t="shared" si="0"/>
        <v>0</v>
      </c>
      <c r="I34" s="28"/>
      <c r="J34" s="29"/>
      <c r="K34" s="26">
        <f t="shared" si="5"/>
        <v>2000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idden="1" x14ac:dyDescent="0.25">
      <c r="B35" s="33"/>
      <c r="C35" s="22"/>
      <c r="D35" s="23"/>
      <c r="E35" s="24"/>
      <c r="F35" s="25"/>
      <c r="G35" s="26">
        <f t="shared" si="6"/>
        <v>2000</v>
      </c>
      <c r="H35" s="27">
        <f t="shared" si="0"/>
        <v>0</v>
      </c>
      <c r="I35" s="28"/>
      <c r="J35" s="29"/>
      <c r="K35" s="26">
        <f t="shared" si="5"/>
        <v>2000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idden="1" x14ac:dyDescent="0.25">
      <c r="B36" s="33"/>
      <c r="C36" s="22"/>
      <c r="D36" s="23"/>
      <c r="E36" s="24"/>
      <c r="F36" s="25"/>
      <c r="G36" s="26">
        <f t="shared" si="6"/>
        <v>2000</v>
      </c>
      <c r="H36" s="27">
        <f t="shared" si="0"/>
        <v>0</v>
      </c>
      <c r="I36" s="28"/>
      <c r="J36" s="29"/>
      <c r="K36" s="26">
        <f t="shared" si="5"/>
        <v>2000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hidden="1" x14ac:dyDescent="0.25">
      <c r="B37" s="33"/>
      <c r="C37" s="22"/>
      <c r="D37" s="23"/>
      <c r="E37" s="24"/>
      <c r="F37" s="25"/>
      <c r="G37" s="26">
        <f t="shared" si="6"/>
        <v>2000</v>
      </c>
      <c r="H37" s="27">
        <f t="shared" si="0"/>
        <v>0</v>
      </c>
      <c r="I37" s="28"/>
      <c r="J37" s="29"/>
      <c r="K37" s="26">
        <f t="shared" si="5"/>
        <v>2000</v>
      </c>
      <c r="L37" s="27">
        <f t="shared" si="1"/>
        <v>0</v>
      </c>
      <c r="M37" s="28"/>
      <c r="N37" s="31">
        <f t="shared" si="2"/>
        <v>0</v>
      </c>
      <c r="O37" s="32" t="str">
        <f t="shared" si="3"/>
        <v/>
      </c>
    </row>
    <row r="38" spans="2:15" s="34" customFormat="1" x14ac:dyDescent="0.25">
      <c r="B38" s="35" t="s">
        <v>22</v>
      </c>
      <c r="C38" s="36"/>
      <c r="D38" s="37"/>
      <c r="E38" s="36"/>
      <c r="F38" s="38"/>
      <c r="G38" s="39"/>
      <c r="H38" s="40">
        <f>SUM(H21:H37)</f>
        <v>43.14</v>
      </c>
      <c r="I38" s="41"/>
      <c r="J38" s="42"/>
      <c r="K38" s="43"/>
      <c r="L38" s="40">
        <f>SUM(L21:L37)</f>
        <v>33.789520847295492</v>
      </c>
      <c r="M38" s="41"/>
      <c r="N38" s="44">
        <f t="shared" si="2"/>
        <v>-9.3504791527045086</v>
      </c>
      <c r="O38" s="45">
        <f t="shared" si="3"/>
        <v>-0.21674731461994687</v>
      </c>
    </row>
    <row r="39" spans="2:15" hidden="1" x14ac:dyDescent="0.25">
      <c r="B39" s="175"/>
      <c r="C39" s="22"/>
      <c r="D39" s="56" t="s">
        <v>60</v>
      </c>
      <c r="E39" s="24"/>
      <c r="F39" s="25"/>
      <c r="G39" s="26">
        <v>1</v>
      </c>
      <c r="H39" s="27">
        <f>G39*F39</f>
        <v>0</v>
      </c>
      <c r="I39" s="28"/>
      <c r="J39" s="173"/>
      <c r="K39" s="30">
        <v>1</v>
      </c>
      <c r="L39" s="27">
        <f>K39*J39</f>
        <v>0</v>
      </c>
      <c r="M39" s="28"/>
      <c r="N39" s="31">
        <f>L39-H39</f>
        <v>0</v>
      </c>
      <c r="O39" s="32" t="str">
        <f>IF((H39)=0,"",(N39/H39))</f>
        <v/>
      </c>
    </row>
    <row r="40" spans="2:15" x14ac:dyDescent="0.25">
      <c r="B40" s="46" t="s">
        <v>23</v>
      </c>
      <c r="C40" s="22"/>
      <c r="D40" s="56" t="s">
        <v>61</v>
      </c>
      <c r="E40" s="57"/>
      <c r="F40" s="29">
        <v>-1.8E-3</v>
      </c>
      <c r="G40" s="26">
        <f>$F$16</f>
        <v>2000</v>
      </c>
      <c r="H40" s="27">
        <f t="shared" ref="H40:H46" si="7">G40*F40</f>
        <v>-3.6</v>
      </c>
      <c r="I40" s="28"/>
      <c r="J40" s="29">
        <f>'[4]6. Rate Rider Calculations'!$F$20</f>
        <v>-1.0353326935341441E-3</v>
      </c>
      <c r="K40" s="26">
        <f>$F$16</f>
        <v>2000</v>
      </c>
      <c r="L40" s="27">
        <f t="shared" ref="L40:L46" si="8">K40*J40</f>
        <v>-2.0706653870682881</v>
      </c>
      <c r="M40" s="28"/>
      <c r="N40" s="31">
        <f t="shared" ref="N40:N65" si="9">L40-H40</f>
        <v>1.529334612931712</v>
      </c>
      <c r="O40" s="32">
        <f t="shared" ref="O40:O45" si="10">IF((H40)=0,"",(N40/H40))</f>
        <v>-0.42481517025880888</v>
      </c>
    </row>
    <row r="41" spans="2:15" hidden="1" x14ac:dyDescent="0.25">
      <c r="B41" s="46"/>
      <c r="C41" s="22"/>
      <c r="D41" s="23" t="s">
        <v>61</v>
      </c>
      <c r="E41" s="24"/>
      <c r="F41" s="25"/>
      <c r="G41" s="26">
        <f>$F$16</f>
        <v>2000</v>
      </c>
      <c r="H41" s="27">
        <f t="shared" si="7"/>
        <v>0</v>
      </c>
      <c r="I41" s="47"/>
      <c r="J41" s="29"/>
      <c r="K41" s="26">
        <f>$F$16</f>
        <v>2000</v>
      </c>
      <c r="L41" s="27">
        <f t="shared" si="8"/>
        <v>0</v>
      </c>
      <c r="M41" s="48"/>
      <c r="N41" s="31">
        <f t="shared" si="9"/>
        <v>0</v>
      </c>
      <c r="O41" s="32" t="str">
        <f t="shared" si="10"/>
        <v/>
      </c>
    </row>
    <row r="42" spans="2:15" hidden="1" x14ac:dyDescent="0.25">
      <c r="B42" s="46"/>
      <c r="C42" s="22"/>
      <c r="D42" s="23" t="s">
        <v>61</v>
      </c>
      <c r="E42" s="24"/>
      <c r="F42" s="25"/>
      <c r="G42" s="26">
        <f>$F$16</f>
        <v>2000</v>
      </c>
      <c r="H42" s="27">
        <f t="shared" si="7"/>
        <v>0</v>
      </c>
      <c r="I42" s="47"/>
      <c r="J42" s="29"/>
      <c r="K42" s="26">
        <f>$F$16</f>
        <v>2000</v>
      </c>
      <c r="L42" s="27">
        <f t="shared" si="8"/>
        <v>0</v>
      </c>
      <c r="M42" s="48"/>
      <c r="N42" s="31">
        <f t="shared" si="9"/>
        <v>0</v>
      </c>
      <c r="O42" s="32" t="str">
        <f t="shared" si="10"/>
        <v/>
      </c>
    </row>
    <row r="43" spans="2:15" hidden="1" x14ac:dyDescent="0.25">
      <c r="B43" s="46"/>
      <c r="C43" s="22"/>
      <c r="D43" s="23"/>
      <c r="E43" s="24"/>
      <c r="F43" s="25"/>
      <c r="G43" s="26">
        <f>$F$16</f>
        <v>2000</v>
      </c>
      <c r="H43" s="27">
        <f t="shared" si="7"/>
        <v>0</v>
      </c>
      <c r="I43" s="47"/>
      <c r="J43" s="29"/>
      <c r="K43" s="26">
        <f>$F$16</f>
        <v>2000</v>
      </c>
      <c r="L43" s="27">
        <f t="shared" si="8"/>
        <v>0</v>
      </c>
      <c r="M43" s="48"/>
      <c r="N43" s="31">
        <f t="shared" si="9"/>
        <v>0</v>
      </c>
      <c r="O43" s="32" t="str">
        <f t="shared" si="10"/>
        <v/>
      </c>
    </row>
    <row r="44" spans="2:15" x14ac:dyDescent="0.25">
      <c r="B44" s="49" t="s">
        <v>24</v>
      </c>
      <c r="C44" s="22"/>
      <c r="D44" s="23" t="s">
        <v>61</v>
      </c>
      <c r="E44" s="24"/>
      <c r="F44" s="195">
        <v>4.0000000000000003E-5</v>
      </c>
      <c r="G44" s="26">
        <f>$F$16</f>
        <v>2000</v>
      </c>
      <c r="H44" s="27">
        <f t="shared" si="7"/>
        <v>0.08</v>
      </c>
      <c r="I44" s="28"/>
      <c r="J44" s="195">
        <f>'[2]Rate Schedule '!$E$12</f>
        <v>6.9999999999999994E-5</v>
      </c>
      <c r="K44" s="26">
        <f>$F$16</f>
        <v>2000</v>
      </c>
      <c r="L44" s="27">
        <f t="shared" si="8"/>
        <v>0.13999999999999999</v>
      </c>
      <c r="M44" s="28"/>
      <c r="N44" s="31">
        <f t="shared" si="9"/>
        <v>5.9999999999999984E-2</v>
      </c>
      <c r="O44" s="32">
        <f t="shared" si="10"/>
        <v>0.74999999999999978</v>
      </c>
    </row>
    <row r="45" spans="2:15" s="34" customFormat="1" x14ac:dyDescent="0.25">
      <c r="B45" s="180" t="s">
        <v>25</v>
      </c>
      <c r="C45" s="24"/>
      <c r="D45" s="181" t="s">
        <v>61</v>
      </c>
      <c r="E45" s="24"/>
      <c r="F45" s="182">
        <f>IF(ISBLANK(D14)=TRUE, 0, IF(D14="TOU", 0.64*$F$55+0.18*$F$56+0.18*$F$57, IF(AND(D14="non-TOU", G59&gt;0), F59,F58)))</f>
        <v>9.2460000000000001E-2</v>
      </c>
      <c r="G45" s="26">
        <f>$F$16*(1+$F$74)-$F$16</f>
        <v>96</v>
      </c>
      <c r="H45" s="183">
        <f t="shared" si="7"/>
        <v>8.8761600000000005</v>
      </c>
      <c r="I45" s="57"/>
      <c r="J45" s="184">
        <f>0.64*$F$55+0.18*$F$56+0.18*$F$57</f>
        <v>9.2460000000000001E-2</v>
      </c>
      <c r="K45" s="26">
        <f>$F$16*(1+$J$74)-$F$16</f>
        <v>94.199999999999818</v>
      </c>
      <c r="L45" s="183">
        <f t="shared" si="8"/>
        <v>8.7097319999999829</v>
      </c>
      <c r="M45" s="57"/>
      <c r="N45" s="185">
        <f t="shared" si="9"/>
        <v>-0.16642800000001756</v>
      </c>
      <c r="O45" s="186">
        <f t="shared" si="10"/>
        <v>-1.8750000000001977E-2</v>
      </c>
    </row>
    <row r="46" spans="2:15" x14ac:dyDescent="0.25">
      <c r="B46" s="49" t="s">
        <v>26</v>
      </c>
      <c r="C46" s="22"/>
      <c r="D46" s="23" t="s">
        <v>60</v>
      </c>
      <c r="E46" s="24"/>
      <c r="F46" s="177">
        <v>0.79</v>
      </c>
      <c r="G46" s="26">
        <v>1</v>
      </c>
      <c r="H46" s="27">
        <f t="shared" si="7"/>
        <v>0.79</v>
      </c>
      <c r="I46" s="28"/>
      <c r="J46" s="177">
        <v>0.79</v>
      </c>
      <c r="K46" s="26">
        <v>1</v>
      </c>
      <c r="L46" s="27">
        <f t="shared" si="8"/>
        <v>0.79</v>
      </c>
      <c r="M46" s="28"/>
      <c r="N46" s="31">
        <f t="shared" si="9"/>
        <v>0</v>
      </c>
      <c r="O46" s="32"/>
    </row>
    <row r="47" spans="2:15" ht="25.5" x14ac:dyDescent="0.25">
      <c r="B47" s="50" t="s">
        <v>27</v>
      </c>
      <c r="C47" s="51"/>
      <c r="D47" s="51"/>
      <c r="E47" s="51"/>
      <c r="F47" s="52"/>
      <c r="G47" s="53"/>
      <c r="H47" s="54">
        <f>SUM(H39:H46)+H38</f>
        <v>49.286160000000002</v>
      </c>
      <c r="I47" s="41"/>
      <c r="J47" s="53"/>
      <c r="K47" s="55"/>
      <c r="L47" s="54">
        <f>SUM(L39:L46)+L38</f>
        <v>41.358587460227184</v>
      </c>
      <c r="M47" s="41"/>
      <c r="N47" s="44">
        <f t="shared" si="9"/>
        <v>-7.9275725397728181</v>
      </c>
      <c r="O47" s="45">
        <f t="shared" ref="O47:O65" si="11">IF((H47)=0,"",(N47/H47))</f>
        <v>-0.16084784328445992</v>
      </c>
    </row>
    <row r="48" spans="2:15" x14ac:dyDescent="0.25">
      <c r="B48" s="28" t="s">
        <v>28</v>
      </c>
      <c r="C48" s="28"/>
      <c r="D48" s="56" t="s">
        <v>61</v>
      </c>
      <c r="E48" s="57"/>
      <c r="F48" s="29">
        <v>7.3000000000000001E-3</v>
      </c>
      <c r="G48" s="58">
        <f>F16*(1+F74)</f>
        <v>2096</v>
      </c>
      <c r="H48" s="27">
        <f>G48*F48</f>
        <v>15.300800000000001</v>
      </c>
      <c r="I48" s="28"/>
      <c r="J48" s="29">
        <f>'[5]13. Final 2015 RTS Rates'!$F$26</f>
        <v>7.5166324038951132E-3</v>
      </c>
      <c r="K48" s="59">
        <f>F16*(1+J74)</f>
        <v>2094.1999999999998</v>
      </c>
      <c r="L48" s="27">
        <f>K48*J48</f>
        <v>15.741331580237144</v>
      </c>
      <c r="M48" s="28"/>
      <c r="N48" s="31">
        <f t="shared" si="9"/>
        <v>0.44053158023714367</v>
      </c>
      <c r="O48" s="32">
        <f t="shared" si="11"/>
        <v>2.8791408307875643E-2</v>
      </c>
    </row>
    <row r="49" spans="2:19" x14ac:dyDescent="0.25">
      <c r="B49" s="60" t="s">
        <v>29</v>
      </c>
      <c r="C49" s="28"/>
      <c r="D49" s="56" t="s">
        <v>61</v>
      </c>
      <c r="E49" s="57"/>
      <c r="F49" s="29">
        <v>5.7000000000000002E-3</v>
      </c>
      <c r="G49" s="58">
        <f>G48</f>
        <v>2096</v>
      </c>
      <c r="H49" s="27">
        <f>G49*F49</f>
        <v>11.9472</v>
      </c>
      <c r="I49" s="28"/>
      <c r="J49" s="29">
        <f>'[5]13. Final 2015 RTS Rates'!$H$26</f>
        <v>5.857883813739073E-3</v>
      </c>
      <c r="K49" s="59">
        <f>K48</f>
        <v>2094.1999999999998</v>
      </c>
      <c r="L49" s="27">
        <f>K49*J49</f>
        <v>12.267580282732366</v>
      </c>
      <c r="M49" s="28"/>
      <c r="N49" s="31">
        <f t="shared" si="9"/>
        <v>0.32038028273236563</v>
      </c>
      <c r="O49" s="32">
        <f t="shared" si="11"/>
        <v>2.6816348829212334E-2</v>
      </c>
    </row>
    <row r="50" spans="2:19" x14ac:dyDescent="0.25">
      <c r="B50" s="50" t="s">
        <v>30</v>
      </c>
      <c r="C50" s="36"/>
      <c r="D50" s="36"/>
      <c r="E50" s="36"/>
      <c r="F50" s="61"/>
      <c r="G50" s="53"/>
      <c r="H50" s="54">
        <f>SUM(H47:H49)</f>
        <v>76.53416</v>
      </c>
      <c r="I50" s="62"/>
      <c r="J50" s="63"/>
      <c r="K50" s="64"/>
      <c r="L50" s="54">
        <f>SUM(L47:L49)</f>
        <v>69.367499323196697</v>
      </c>
      <c r="M50" s="62"/>
      <c r="N50" s="44">
        <f t="shared" si="9"/>
        <v>-7.1666606768033034</v>
      </c>
      <c r="O50" s="45">
        <f t="shared" si="11"/>
        <v>-9.3640025275031485E-2</v>
      </c>
    </row>
    <row r="51" spans="2:19" x14ac:dyDescent="0.25">
      <c r="B51" s="65" t="s">
        <v>31</v>
      </c>
      <c r="C51" s="22"/>
      <c r="D51" s="23" t="s">
        <v>61</v>
      </c>
      <c r="E51" s="24"/>
      <c r="F51" s="66">
        <v>4.4000000000000003E-3</v>
      </c>
      <c r="G51" s="58">
        <f>G49</f>
        <v>2096</v>
      </c>
      <c r="H51" s="67">
        <f t="shared" ref="H51:H57" si="12">G51*F51</f>
        <v>9.2224000000000004</v>
      </c>
      <c r="I51" s="28"/>
      <c r="J51" s="66">
        <v>4.4000000000000003E-3</v>
      </c>
      <c r="K51" s="59">
        <f>K49</f>
        <v>2094.1999999999998</v>
      </c>
      <c r="L51" s="67">
        <f t="shared" ref="L51:L57" si="13">K51*J51</f>
        <v>9.21448</v>
      </c>
      <c r="M51" s="28"/>
      <c r="N51" s="31">
        <f t="shared" si="9"/>
        <v>-7.9200000000003712E-3</v>
      </c>
      <c r="O51" s="68">
        <f t="shared" si="11"/>
        <v>-8.5877862595423867E-4</v>
      </c>
    </row>
    <row r="52" spans="2:19" x14ac:dyDescent="0.25">
      <c r="B52" s="65" t="s">
        <v>32</v>
      </c>
      <c r="C52" s="22"/>
      <c r="D52" s="23" t="s">
        <v>61</v>
      </c>
      <c r="E52" s="24"/>
      <c r="F52" s="66">
        <v>1.2999999999999999E-3</v>
      </c>
      <c r="G52" s="58">
        <f>G49</f>
        <v>2096</v>
      </c>
      <c r="H52" s="67">
        <f t="shared" si="12"/>
        <v>2.7247999999999997</v>
      </c>
      <c r="I52" s="28"/>
      <c r="J52" s="66">
        <v>1.2999999999999999E-3</v>
      </c>
      <c r="K52" s="59">
        <f>K49</f>
        <v>2094.1999999999998</v>
      </c>
      <c r="L52" s="67">
        <f t="shared" si="13"/>
        <v>2.7224599999999994</v>
      </c>
      <c r="M52" s="28"/>
      <c r="N52" s="31">
        <f t="shared" si="9"/>
        <v>-2.3400000000002308E-3</v>
      </c>
      <c r="O52" s="68">
        <f t="shared" si="11"/>
        <v>-8.5877862595428324E-4</v>
      </c>
    </row>
    <row r="53" spans="2:19" x14ac:dyDescent="0.25">
      <c r="B53" s="22" t="s">
        <v>33</v>
      </c>
      <c r="C53" s="22"/>
      <c r="D53" s="23" t="s">
        <v>60</v>
      </c>
      <c r="E53" s="24"/>
      <c r="F53" s="176">
        <v>0.25</v>
      </c>
      <c r="G53" s="26">
        <v>1</v>
      </c>
      <c r="H53" s="67">
        <f t="shared" si="12"/>
        <v>0.25</v>
      </c>
      <c r="I53" s="28"/>
      <c r="J53" s="176">
        <v>0.25</v>
      </c>
      <c r="K53" s="30">
        <v>1</v>
      </c>
      <c r="L53" s="67">
        <f t="shared" si="13"/>
        <v>0.25</v>
      </c>
      <c r="M53" s="28"/>
      <c r="N53" s="31">
        <f t="shared" si="9"/>
        <v>0</v>
      </c>
      <c r="O53" s="68">
        <f t="shared" si="11"/>
        <v>0</v>
      </c>
    </row>
    <row r="54" spans="2:19" x14ac:dyDescent="0.25">
      <c r="B54" s="22" t="s">
        <v>34</v>
      </c>
      <c r="C54" s="22"/>
      <c r="D54" s="23" t="s">
        <v>61</v>
      </c>
      <c r="E54" s="24"/>
      <c r="F54" s="66">
        <v>7.0000000000000001E-3</v>
      </c>
      <c r="G54" s="69">
        <f>F16</f>
        <v>2000</v>
      </c>
      <c r="H54" s="67">
        <f t="shared" si="12"/>
        <v>14</v>
      </c>
      <c r="I54" s="28"/>
      <c r="J54" s="66">
        <v>7.0000000000000001E-3</v>
      </c>
      <c r="K54" s="70">
        <f>F16</f>
        <v>2000</v>
      </c>
      <c r="L54" s="67">
        <f t="shared" si="13"/>
        <v>14</v>
      </c>
      <c r="M54" s="28"/>
      <c r="N54" s="31">
        <f t="shared" si="9"/>
        <v>0</v>
      </c>
      <c r="O54" s="68">
        <f t="shared" si="11"/>
        <v>0</v>
      </c>
    </row>
    <row r="55" spans="2:19" x14ac:dyDescent="0.25">
      <c r="B55" s="49" t="s">
        <v>35</v>
      </c>
      <c r="C55" s="22"/>
      <c r="D55" s="23" t="s">
        <v>61</v>
      </c>
      <c r="E55" s="24"/>
      <c r="F55" s="66">
        <v>7.4999999999999997E-2</v>
      </c>
      <c r="G55" s="69">
        <f>0.64*$F$16</f>
        <v>1280</v>
      </c>
      <c r="H55" s="67">
        <f t="shared" si="12"/>
        <v>96</v>
      </c>
      <c r="I55" s="28"/>
      <c r="J55" s="66">
        <v>7.4999999999999997E-2</v>
      </c>
      <c r="K55" s="69">
        <f>G55</f>
        <v>1280</v>
      </c>
      <c r="L55" s="67">
        <f t="shared" si="13"/>
        <v>96</v>
      </c>
      <c r="M55" s="28"/>
      <c r="N55" s="31">
        <f t="shared" si="9"/>
        <v>0</v>
      </c>
      <c r="O55" s="68">
        <f t="shared" si="11"/>
        <v>0</v>
      </c>
      <c r="S55" s="72"/>
    </row>
    <row r="56" spans="2:19" x14ac:dyDescent="0.25">
      <c r="B56" s="49" t="s">
        <v>36</v>
      </c>
      <c r="C56" s="22"/>
      <c r="D56" s="23" t="s">
        <v>61</v>
      </c>
      <c r="E56" s="24"/>
      <c r="F56" s="66">
        <v>0.112</v>
      </c>
      <c r="G56" s="69">
        <f>0.18*$F$16</f>
        <v>360</v>
      </c>
      <c r="H56" s="67">
        <f t="shared" si="12"/>
        <v>40.32</v>
      </c>
      <c r="I56" s="28"/>
      <c r="J56" s="66">
        <v>0.112</v>
      </c>
      <c r="K56" s="69">
        <f>G56</f>
        <v>360</v>
      </c>
      <c r="L56" s="67">
        <f t="shared" si="13"/>
        <v>40.32</v>
      </c>
      <c r="M56" s="28"/>
      <c r="N56" s="31">
        <f t="shared" si="9"/>
        <v>0</v>
      </c>
      <c r="O56" s="68">
        <f t="shared" si="11"/>
        <v>0</v>
      </c>
      <c r="S56" s="72"/>
    </row>
    <row r="57" spans="2:19" x14ac:dyDescent="0.25">
      <c r="B57" s="12" t="s">
        <v>37</v>
      </c>
      <c r="C57" s="22"/>
      <c r="D57" s="23" t="s">
        <v>61</v>
      </c>
      <c r="E57" s="24"/>
      <c r="F57" s="66">
        <v>0.13500000000000001</v>
      </c>
      <c r="G57" s="69">
        <f>0.18*$F$16</f>
        <v>360</v>
      </c>
      <c r="H57" s="67">
        <f t="shared" si="12"/>
        <v>48.6</v>
      </c>
      <c r="I57" s="28"/>
      <c r="J57" s="66">
        <v>0.13500000000000001</v>
      </c>
      <c r="K57" s="69">
        <f>G57</f>
        <v>360</v>
      </c>
      <c r="L57" s="67">
        <f t="shared" si="13"/>
        <v>48.6</v>
      </c>
      <c r="M57" s="28"/>
      <c r="N57" s="31">
        <f t="shared" si="9"/>
        <v>0</v>
      </c>
      <c r="O57" s="68">
        <f t="shared" si="11"/>
        <v>0</v>
      </c>
      <c r="S57" s="72"/>
    </row>
    <row r="58" spans="2:19" s="73" customFormat="1" x14ac:dyDescent="0.2">
      <c r="B58" s="74" t="s">
        <v>38</v>
      </c>
      <c r="C58" s="75"/>
      <c r="D58" s="76" t="s">
        <v>61</v>
      </c>
      <c r="E58" s="77"/>
      <c r="F58" s="66">
        <v>8.5999999999999993E-2</v>
      </c>
      <c r="G58" s="78">
        <f>IF(AND($T$1=1, F16&gt;=600), 600, IF(AND($T$1=1, AND(F16&lt;600, F16&gt;=0)), F16, IF(AND($T$1=2, F16&gt;=1000), 1000, IF(AND($T$1=2, AND(F16&lt;1000, F16&gt;=0)), F16))))</f>
        <v>600</v>
      </c>
      <c r="H58" s="67">
        <f>G58*F58</f>
        <v>51.599999999999994</v>
      </c>
      <c r="I58" s="79"/>
      <c r="J58" s="66">
        <v>8.5999999999999993E-2</v>
      </c>
      <c r="K58" s="78">
        <f>G58</f>
        <v>600</v>
      </c>
      <c r="L58" s="67">
        <f>K58*J58</f>
        <v>51.599999999999994</v>
      </c>
      <c r="M58" s="79"/>
      <c r="N58" s="80">
        <f t="shared" si="9"/>
        <v>0</v>
      </c>
      <c r="O58" s="68">
        <f t="shared" si="11"/>
        <v>0</v>
      </c>
    </row>
    <row r="59" spans="2:19" s="73" customFormat="1" ht="15.75" thickBot="1" x14ac:dyDescent="0.25">
      <c r="B59" s="74" t="s">
        <v>39</v>
      </c>
      <c r="C59" s="75"/>
      <c r="D59" s="76" t="s">
        <v>61</v>
      </c>
      <c r="E59" s="77"/>
      <c r="F59" s="66">
        <v>0.10100000000000001</v>
      </c>
      <c r="G59" s="78">
        <f>IF(AND($T$1=1, F16&gt;=600), F16-600, IF(AND($T$1=1, AND(F16&lt;600, F16&gt;=0)), 0, IF(AND($T$1=2, F16&gt;=1000), F16-1000, IF(AND($T$1=2, AND(F16&lt;1000, F16&gt;=0)), 0))))</f>
        <v>1400</v>
      </c>
      <c r="H59" s="67">
        <f>G59*F59</f>
        <v>141.4</v>
      </c>
      <c r="I59" s="79"/>
      <c r="J59" s="66">
        <v>0.10100000000000001</v>
      </c>
      <c r="K59" s="78">
        <f>G59</f>
        <v>1400</v>
      </c>
      <c r="L59" s="67">
        <f>K59*J59</f>
        <v>141.4</v>
      </c>
      <c r="M59" s="79"/>
      <c r="N59" s="80">
        <f t="shared" si="9"/>
        <v>0</v>
      </c>
      <c r="O59" s="68">
        <f t="shared" si="11"/>
        <v>0</v>
      </c>
    </row>
    <row r="60" spans="2:19" ht="8.25" customHeight="1" thickBot="1" x14ac:dyDescent="0.3">
      <c r="B60" s="81"/>
      <c r="C60" s="82"/>
      <c r="D60" s="83"/>
      <c r="E60" s="82"/>
      <c r="F60" s="84"/>
      <c r="G60" s="85"/>
      <c r="H60" s="86"/>
      <c r="I60" s="87"/>
      <c r="J60" s="84"/>
      <c r="K60" s="88"/>
      <c r="L60" s="86"/>
      <c r="M60" s="87"/>
      <c r="N60" s="89"/>
      <c r="O60" s="90"/>
    </row>
    <row r="61" spans="2:19" x14ac:dyDescent="0.25">
      <c r="B61" s="91" t="s">
        <v>40</v>
      </c>
      <c r="C61" s="22"/>
      <c r="D61" s="22"/>
      <c r="E61" s="22"/>
      <c r="F61" s="92"/>
      <c r="G61" s="93"/>
      <c r="H61" s="94">
        <f>SUM(H51:H57,H50)</f>
        <v>287.65136000000001</v>
      </c>
      <c r="I61" s="95"/>
      <c r="J61" s="96"/>
      <c r="K61" s="96"/>
      <c r="L61" s="189">
        <f>SUM(L51:L57,L50)</f>
        <v>280.47443932319669</v>
      </c>
      <c r="M61" s="97"/>
      <c r="N61" s="98">
        <f>L61-H61</f>
        <v>-7.17692067680332</v>
      </c>
      <c r="O61" s="99">
        <f>IF((H61)=0,"",(N61/H61))</f>
        <v>-2.4950066903223819E-2</v>
      </c>
      <c r="S61" s="72"/>
    </row>
    <row r="62" spans="2:19" x14ac:dyDescent="0.25">
      <c r="B62" s="100" t="s">
        <v>41</v>
      </c>
      <c r="C62" s="22"/>
      <c r="D62" s="22"/>
      <c r="E62" s="22"/>
      <c r="F62" s="101">
        <v>0.13</v>
      </c>
      <c r="G62" s="102"/>
      <c r="H62" s="103">
        <f>H61*F62</f>
        <v>37.394676799999999</v>
      </c>
      <c r="I62" s="104"/>
      <c r="J62" s="105">
        <v>0.13</v>
      </c>
      <c r="K62" s="104"/>
      <c r="L62" s="106">
        <f>L61*J62</f>
        <v>36.461677112015572</v>
      </c>
      <c r="M62" s="107"/>
      <c r="N62" s="108">
        <f t="shared" si="9"/>
        <v>-0.93299968798442734</v>
      </c>
      <c r="O62" s="109">
        <f t="shared" si="11"/>
        <v>-2.4950066903223708E-2</v>
      </c>
      <c r="S62" s="72"/>
    </row>
    <row r="63" spans="2:19" x14ac:dyDescent="0.25">
      <c r="B63" s="110" t="s">
        <v>42</v>
      </c>
      <c r="C63" s="22"/>
      <c r="D63" s="22"/>
      <c r="E63" s="22"/>
      <c r="F63" s="111"/>
      <c r="G63" s="102"/>
      <c r="H63" s="103">
        <f>H61+H62</f>
        <v>325.04603680000002</v>
      </c>
      <c r="I63" s="104"/>
      <c r="J63" s="104"/>
      <c r="K63" s="104"/>
      <c r="L63" s="106">
        <f>L61+L62</f>
        <v>316.93611643521228</v>
      </c>
      <c r="M63" s="107"/>
      <c r="N63" s="108">
        <f t="shared" si="9"/>
        <v>-8.1099203647877403</v>
      </c>
      <c r="O63" s="109">
        <f t="shared" si="11"/>
        <v>-2.4950066903223784E-2</v>
      </c>
      <c r="S63" s="72"/>
    </row>
    <row r="64" spans="2:19" ht="15.75" customHeight="1" x14ac:dyDescent="0.25">
      <c r="B64" s="240" t="s">
        <v>43</v>
      </c>
      <c r="C64" s="240"/>
      <c r="D64" s="240"/>
      <c r="E64" s="22"/>
      <c r="F64" s="111"/>
      <c r="G64" s="102"/>
      <c r="H64" s="112">
        <f>ROUND(-H63*10%,2)</f>
        <v>-32.5</v>
      </c>
      <c r="I64" s="104"/>
      <c r="J64" s="104"/>
      <c r="K64" s="104"/>
      <c r="L64" s="113">
        <f>ROUND(-L63*10%,2)</f>
        <v>-31.69</v>
      </c>
      <c r="M64" s="107"/>
      <c r="N64" s="114">
        <f t="shared" si="9"/>
        <v>0.80999999999999872</v>
      </c>
      <c r="O64" s="115">
        <f t="shared" si="11"/>
        <v>-2.4923076923076885E-2</v>
      </c>
    </row>
    <row r="65" spans="1:15" ht="15.75" thickBot="1" x14ac:dyDescent="0.3">
      <c r="B65" s="246" t="s">
        <v>44</v>
      </c>
      <c r="C65" s="246"/>
      <c r="D65" s="246"/>
      <c r="E65" s="116"/>
      <c r="F65" s="117"/>
      <c r="G65" s="118"/>
      <c r="H65" s="119">
        <f>H63+H64</f>
        <v>292.54603680000002</v>
      </c>
      <c r="I65" s="120"/>
      <c r="J65" s="120"/>
      <c r="K65" s="120"/>
      <c r="L65" s="121">
        <f>L63+L64</f>
        <v>285.24611643521229</v>
      </c>
      <c r="M65" s="122"/>
      <c r="N65" s="123">
        <f t="shared" si="9"/>
        <v>-7.299920364787738</v>
      </c>
      <c r="O65" s="124">
        <f t="shared" si="11"/>
        <v>-2.4953065317983955E-2</v>
      </c>
    </row>
    <row r="66" spans="1:15" s="73" customFormat="1" ht="8.25" customHeight="1" thickBot="1" x14ac:dyDescent="0.25">
      <c r="B66" s="125"/>
      <c r="C66" s="126"/>
      <c r="D66" s="127"/>
      <c r="E66" s="126"/>
      <c r="F66" s="84"/>
      <c r="G66" s="128"/>
      <c r="H66" s="86"/>
      <c r="I66" s="129"/>
      <c r="J66" s="84"/>
      <c r="K66" s="130"/>
      <c r="L66" s="86"/>
      <c r="M66" s="129"/>
      <c r="N66" s="131"/>
      <c r="O66" s="90"/>
    </row>
    <row r="67" spans="1:15" s="73" customFormat="1" ht="12.75" x14ac:dyDescent="0.2">
      <c r="B67" s="132" t="s">
        <v>45</v>
      </c>
      <c r="C67" s="75"/>
      <c r="D67" s="75"/>
      <c r="E67" s="75"/>
      <c r="F67" s="133"/>
      <c r="G67" s="134"/>
      <c r="H67" s="135">
        <f>SUM(H58:H59,H50,H51:H54)</f>
        <v>295.73136</v>
      </c>
      <c r="I67" s="136"/>
      <c r="J67" s="137"/>
      <c r="K67" s="137"/>
      <c r="L67" s="188">
        <f>SUM(L58:L59,L50,L51:L54)</f>
        <v>288.55443932319668</v>
      </c>
      <c r="M67" s="138"/>
      <c r="N67" s="139">
        <f>L67-H67</f>
        <v>-7.17692067680332</v>
      </c>
      <c r="O67" s="99">
        <f>IF((H67)=0,"",(N67/H67))</f>
        <v>-2.4268378831393871E-2</v>
      </c>
    </row>
    <row r="68" spans="1:15" s="73" customFormat="1" ht="12.75" x14ac:dyDescent="0.2">
      <c r="B68" s="140" t="s">
        <v>41</v>
      </c>
      <c r="C68" s="75"/>
      <c r="D68" s="75"/>
      <c r="E68" s="75"/>
      <c r="F68" s="141">
        <v>0.13</v>
      </c>
      <c r="G68" s="134"/>
      <c r="H68" s="142">
        <f>H67*F68</f>
        <v>38.445076800000002</v>
      </c>
      <c r="I68" s="143"/>
      <c r="J68" s="144">
        <v>0.13</v>
      </c>
      <c r="K68" s="145"/>
      <c r="L68" s="146">
        <f>L67*J68</f>
        <v>37.512077112015568</v>
      </c>
      <c r="M68" s="147"/>
      <c r="N68" s="148">
        <f>L68-H68</f>
        <v>-0.93299968798443444</v>
      </c>
      <c r="O68" s="109">
        <f>IF((H68)=0,"",(N68/H68))</f>
        <v>-2.4268378831393943E-2</v>
      </c>
    </row>
    <row r="69" spans="1:15" s="73" customFormat="1" ht="12.75" x14ac:dyDescent="0.2">
      <c r="B69" s="149" t="s">
        <v>42</v>
      </c>
      <c r="C69" s="75"/>
      <c r="D69" s="75"/>
      <c r="E69" s="75"/>
      <c r="F69" s="150"/>
      <c r="G69" s="151"/>
      <c r="H69" s="142">
        <f>H67+H68</f>
        <v>334.17643679999998</v>
      </c>
      <c r="I69" s="143"/>
      <c r="J69" s="143"/>
      <c r="K69" s="143"/>
      <c r="L69" s="146">
        <f>L67+L68</f>
        <v>326.06651643521224</v>
      </c>
      <c r="M69" s="147"/>
      <c r="N69" s="148">
        <f>L69-H69</f>
        <v>-8.1099203647877403</v>
      </c>
      <c r="O69" s="109">
        <f>IF((H69)=0,"",(N69/H69))</f>
        <v>-2.4268378831393839E-2</v>
      </c>
    </row>
    <row r="70" spans="1:15" s="73" customFormat="1" ht="15.75" customHeight="1" x14ac:dyDescent="0.2">
      <c r="B70" s="241" t="s">
        <v>43</v>
      </c>
      <c r="C70" s="241"/>
      <c r="D70" s="241"/>
      <c r="E70" s="75"/>
      <c r="F70" s="150"/>
      <c r="G70" s="151"/>
      <c r="H70" s="152">
        <f>ROUND(-H69*10%,2)</f>
        <v>-33.42</v>
      </c>
      <c r="I70" s="143"/>
      <c r="J70" s="143"/>
      <c r="K70" s="143"/>
      <c r="L70" s="153">
        <f>ROUND(-L69*10%,2)</f>
        <v>-32.61</v>
      </c>
      <c r="M70" s="147"/>
      <c r="N70" s="154">
        <f>L70-H70</f>
        <v>0.81000000000000227</v>
      </c>
      <c r="O70" s="115">
        <f>IF((H70)=0,"",(N70/H70))</f>
        <v>-2.423698384201084E-2</v>
      </c>
    </row>
    <row r="71" spans="1:15" s="73" customFormat="1" ht="13.5" thickBot="1" x14ac:dyDescent="0.25">
      <c r="B71" s="233" t="s">
        <v>46</v>
      </c>
      <c r="C71" s="233"/>
      <c r="D71" s="233"/>
      <c r="E71" s="155"/>
      <c r="F71" s="156"/>
      <c r="G71" s="157"/>
      <c r="H71" s="158">
        <f>SUM(H69:H70)</f>
        <v>300.75643679999996</v>
      </c>
      <c r="I71" s="159"/>
      <c r="J71" s="159"/>
      <c r="K71" s="159"/>
      <c r="L71" s="160">
        <f>SUM(L69:L70)</f>
        <v>293.45651643521222</v>
      </c>
      <c r="M71" s="161"/>
      <c r="N71" s="162">
        <f>L71-H71</f>
        <v>-7.299920364787738</v>
      </c>
      <c r="O71" s="163">
        <f>IF((H71)=0,"",(N71/H71))</f>
        <v>-2.4271867436845958E-2</v>
      </c>
    </row>
    <row r="72" spans="1:15" s="73" customFormat="1" ht="8.25" customHeight="1" thickBot="1" x14ac:dyDescent="0.25">
      <c r="B72" s="125"/>
      <c r="C72" s="126"/>
      <c r="D72" s="127"/>
      <c r="E72" s="126"/>
      <c r="F72" s="164"/>
      <c r="G72" s="165"/>
      <c r="H72" s="166"/>
      <c r="I72" s="167"/>
      <c r="J72" s="164"/>
      <c r="K72" s="128"/>
      <c r="L72" s="168"/>
      <c r="M72" s="129"/>
      <c r="N72" s="169"/>
      <c r="O72" s="90"/>
    </row>
    <row r="73" spans="1:15" ht="10.5" customHeight="1" x14ac:dyDescent="0.25">
      <c r="L73" s="72"/>
    </row>
    <row r="74" spans="1:15" x14ac:dyDescent="0.25">
      <c r="B74" s="13" t="s">
        <v>47</v>
      </c>
      <c r="F74" s="170">
        <v>4.8000000000000001E-2</v>
      </c>
      <c r="J74" s="170">
        <f>'Res (100kWh)'!$J$74</f>
        <v>4.7100000000000003E-2</v>
      </c>
    </row>
    <row r="75" spans="1:15" ht="10.5" customHeight="1" x14ac:dyDescent="0.25"/>
    <row r="76" spans="1:15" x14ac:dyDescent="0.25">
      <c r="A76" s="171" t="s">
        <v>48</v>
      </c>
    </row>
    <row r="77" spans="1:15" ht="10.5" customHeight="1" x14ac:dyDescent="0.25"/>
    <row r="78" spans="1:15" x14ac:dyDescent="0.25">
      <c r="A78" s="7" t="s">
        <v>49</v>
      </c>
    </row>
    <row r="79" spans="1:15" x14ac:dyDescent="0.25">
      <c r="A79" s="7" t="s">
        <v>50</v>
      </c>
    </row>
    <row r="81" spans="1:2" x14ac:dyDescent="0.25">
      <c r="A81" s="12" t="s">
        <v>51</v>
      </c>
    </row>
    <row r="82" spans="1:2" x14ac:dyDescent="0.25">
      <c r="A82" s="12" t="s">
        <v>52</v>
      </c>
    </row>
    <row r="84" spans="1:2" x14ac:dyDescent="0.25">
      <c r="A84" s="7" t="s">
        <v>53</v>
      </c>
    </row>
    <row r="85" spans="1:2" x14ac:dyDescent="0.25">
      <c r="A85" s="7" t="s">
        <v>54</v>
      </c>
    </row>
    <row r="86" spans="1:2" x14ac:dyDescent="0.25">
      <c r="A86" s="7" t="s">
        <v>55</v>
      </c>
    </row>
    <row r="87" spans="1:2" x14ac:dyDescent="0.25">
      <c r="A87" s="7" t="s">
        <v>56</v>
      </c>
    </row>
    <row r="88" spans="1:2" x14ac:dyDescent="0.25">
      <c r="A88" s="7" t="s">
        <v>57</v>
      </c>
    </row>
    <row r="90" spans="1:2" x14ac:dyDescent="0.25">
      <c r="A90" s="172"/>
      <c r="B90" s="7" t="s">
        <v>58</v>
      </c>
    </row>
  </sheetData>
  <mergeCells count="17">
    <mergeCell ref="B64:D64"/>
    <mergeCell ref="B65:D65"/>
    <mergeCell ref="B70:D70"/>
    <mergeCell ref="B71:D71"/>
    <mergeCell ref="D12:O12"/>
    <mergeCell ref="F18:H18"/>
    <mergeCell ref="J18:L18"/>
    <mergeCell ref="N18:O18"/>
    <mergeCell ref="D19:D20"/>
    <mergeCell ref="N19:N20"/>
    <mergeCell ref="O19:O20"/>
    <mergeCell ref="B9:O9"/>
    <mergeCell ref="N1:O1"/>
    <mergeCell ref="N2:O2"/>
    <mergeCell ref="N3:O3"/>
    <mergeCell ref="N5:O5"/>
    <mergeCell ref="B8:O8"/>
  </mergeCells>
  <dataValidations count="4">
    <dataValidation type="list" allowBlank="1" showInputMessage="1" showErrorMessage="1" sqref="D14">
      <formula1>"TOU, non-TOU"</formula1>
    </dataValidation>
    <dataValidation type="list" allowBlank="1" showInputMessage="1" showErrorMessage="1" prompt="Select Charge Unit - monthly, per kWh, per kW" sqref="D48:D49 D66 D72 D51:D60 D39:D46 D21:D37">
      <formula1>"Monthly, per kWh, per kW"</formula1>
    </dataValidation>
    <dataValidation type="list" allowBlank="1" showInputMessage="1" showErrorMessage="1" sqref="E48:E49 E51:E60 E39:E46 E66 E72 E21:E24 E26:E37">
      <formula1>#REF!</formula1>
    </dataValidation>
    <dataValidation type="list" allowBlank="1" showInputMessage="1" showErrorMessage="1" sqref="E25">
      <formula1>#REF!</formula1>
    </dataValidation>
  </dataValidations>
  <pageMargins left="0.7" right="0.7" top="0.75" bottom="0.75" header="0.3" footer="0.3"/>
  <pageSetup scale="59" fitToHeight="0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tabColor theme="0" tint="-0.14999847407452621"/>
    <pageSetUpPr fitToPage="1"/>
  </sheetPr>
  <dimension ref="A1:T90"/>
  <sheetViews>
    <sheetView showGridLines="0" topLeftCell="A7" workbookViewId="0">
      <selection activeCell="L1" sqref="L1:O5"/>
    </sheetView>
  </sheetViews>
  <sheetFormatPr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8.5703125" style="7" customWidth="1"/>
    <col min="8" max="8" width="9.7109375" style="7" customWidth="1"/>
    <col min="9" max="9" width="2.85546875" style="7" customWidth="1"/>
    <col min="10" max="10" width="12.140625" style="7" customWidth="1"/>
    <col min="11" max="11" width="8.5703125" style="7" customWidth="1"/>
    <col min="12" max="12" width="9.7109375" style="7" customWidth="1"/>
    <col min="13" max="13" width="2.85546875" style="7" customWidth="1"/>
    <col min="14" max="14" width="12.7109375" style="7" bestFit="1" customWidth="1"/>
    <col min="15" max="15" width="10.85546875" style="7" bestFit="1" customWidth="1"/>
    <col min="16" max="16" width="9.710937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248" t="str">
        <f>'Res (100kWh)'!$N$1:$O$1</f>
        <v>EB-2014-0099</v>
      </c>
      <c r="O1" s="248"/>
      <c r="P1" s="190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94</v>
      </c>
      <c r="N2" s="249">
        <f>'Res (100kWh)'!$N$2:$O$2</f>
        <v>8</v>
      </c>
      <c r="O2" s="249"/>
      <c r="P2" s="191"/>
    </row>
    <row r="3" spans="1:20" s="2" customFormat="1" ht="15" customHeight="1" x14ac:dyDescent="0.25">
      <c r="C3" s="6"/>
      <c r="D3" s="6"/>
      <c r="E3" s="6"/>
      <c r="L3" s="3" t="s">
        <v>95</v>
      </c>
      <c r="N3" s="248" t="str">
        <f>'Res (100kWh)'!$N$3:$O$3</f>
        <v>8-B</v>
      </c>
      <c r="O3" s="248"/>
      <c r="P3" s="190"/>
    </row>
    <row r="4" spans="1:20" s="2" customFormat="1" ht="9" customHeight="1" x14ac:dyDescent="0.25">
      <c r="L4" s="3"/>
      <c r="N4" s="232"/>
      <c r="O4"/>
      <c r="P4" s="192"/>
    </row>
    <row r="5" spans="1:20" s="2" customFormat="1" x14ac:dyDescent="0.25">
      <c r="L5" s="3" t="s">
        <v>75</v>
      </c>
      <c r="N5" s="248">
        <f>'Res (100kWh)'!$N$5:$O$5</f>
        <v>42118</v>
      </c>
      <c r="O5" s="248"/>
      <c r="P5" s="193"/>
    </row>
    <row r="6" spans="1:20" s="2" customFormat="1" ht="15" customHeight="1" x14ac:dyDescent="0.25">
      <c r="N6" s="7"/>
      <c r="O6"/>
      <c r="P6"/>
    </row>
    <row r="7" spans="1:20" ht="7.5" customHeight="1" x14ac:dyDescent="0.25">
      <c r="L7"/>
      <c r="M7"/>
      <c r="N7"/>
      <c r="O7"/>
      <c r="P7"/>
    </row>
    <row r="8" spans="1:20" ht="18.75" customHeight="1" x14ac:dyDescent="0.25">
      <c r="B8" s="247" t="s">
        <v>1</v>
      </c>
      <c r="C8" s="247"/>
      <c r="D8" s="247"/>
      <c r="E8" s="247"/>
      <c r="F8" s="247"/>
      <c r="G8" s="247"/>
      <c r="H8" s="247"/>
      <c r="I8" s="247"/>
      <c r="J8" s="247"/>
      <c r="K8" s="247"/>
      <c r="L8" s="247"/>
      <c r="M8" s="247"/>
      <c r="N8" s="247"/>
      <c r="O8" s="247"/>
      <c r="P8"/>
    </row>
    <row r="9" spans="1:20" ht="18.75" customHeight="1" x14ac:dyDescent="0.25">
      <c r="B9" s="247" t="s">
        <v>2</v>
      </c>
      <c r="C9" s="247"/>
      <c r="D9" s="247"/>
      <c r="E9" s="247"/>
      <c r="F9" s="247"/>
      <c r="G9" s="247"/>
      <c r="H9" s="247"/>
      <c r="I9" s="247"/>
      <c r="J9" s="247"/>
      <c r="K9" s="247"/>
      <c r="L9" s="247"/>
      <c r="M9" s="247"/>
      <c r="N9" s="247"/>
      <c r="O9" s="247"/>
      <c r="P9"/>
    </row>
    <row r="10" spans="1:20" ht="7.5" customHeight="1" x14ac:dyDescent="0.25">
      <c r="L10"/>
      <c r="M10"/>
      <c r="N10"/>
      <c r="O10"/>
      <c r="P10"/>
    </row>
    <row r="11" spans="1:20" ht="7.5" customHeight="1" x14ac:dyDescent="0.25">
      <c r="L11"/>
      <c r="M11"/>
      <c r="N11"/>
      <c r="O11"/>
      <c r="P11"/>
    </row>
    <row r="12" spans="1:20" ht="15.75" x14ac:dyDescent="0.25">
      <c r="B12" s="8" t="s">
        <v>3</v>
      </c>
      <c r="D12" s="242" t="s">
        <v>67</v>
      </c>
      <c r="E12" s="242"/>
      <c r="F12" s="242"/>
      <c r="G12" s="242"/>
      <c r="H12" s="242"/>
      <c r="I12" s="242"/>
      <c r="J12" s="242"/>
      <c r="K12" s="242"/>
      <c r="L12" s="242"/>
      <c r="M12" s="242"/>
      <c r="N12" s="242"/>
      <c r="O12" s="242"/>
    </row>
    <row r="13" spans="1:20" ht="7.5" customHeight="1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5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x14ac:dyDescent="0.25">
      <c r="B16" s="12"/>
      <c r="D16" s="13" t="s">
        <v>6</v>
      </c>
      <c r="E16" s="13"/>
      <c r="F16" s="14">
        <v>1000</v>
      </c>
      <c r="G16" s="13" t="s">
        <v>7</v>
      </c>
    </row>
    <row r="17" spans="2:15" x14ac:dyDescent="0.25">
      <c r="B17" s="12"/>
    </row>
    <row r="18" spans="2:15" x14ac:dyDescent="0.25">
      <c r="B18" s="12"/>
      <c r="D18" s="15"/>
      <c r="E18" s="15"/>
      <c r="F18" s="243" t="s">
        <v>8</v>
      </c>
      <c r="G18" s="244"/>
      <c r="H18" s="245"/>
      <c r="J18" s="243" t="s">
        <v>9</v>
      </c>
      <c r="K18" s="244"/>
      <c r="L18" s="245"/>
      <c r="N18" s="243" t="s">
        <v>10</v>
      </c>
      <c r="O18" s="245"/>
    </row>
    <row r="19" spans="2:15" x14ac:dyDescent="0.25">
      <c r="B19" s="12"/>
      <c r="D19" s="234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236" t="s">
        <v>15</v>
      </c>
      <c r="O19" s="238" t="s">
        <v>16</v>
      </c>
    </row>
    <row r="20" spans="2:15" x14ac:dyDescent="0.25">
      <c r="B20" s="12"/>
      <c r="D20" s="235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237"/>
      <c r="O20" s="239"/>
    </row>
    <row r="21" spans="2:15" ht="22.5" customHeight="1" x14ac:dyDescent="0.25">
      <c r="B21" s="22" t="s">
        <v>18</v>
      </c>
      <c r="C21" s="22"/>
      <c r="D21" s="23" t="s">
        <v>60</v>
      </c>
      <c r="E21" s="24"/>
      <c r="F21" s="174">
        <f>'[2]2014 Existing Rates'!$C$7</f>
        <v>21.69</v>
      </c>
      <c r="G21" s="26">
        <v>1</v>
      </c>
      <c r="H21" s="27">
        <f>G21*F21</f>
        <v>21.69</v>
      </c>
      <c r="I21" s="28"/>
      <c r="J21" s="173">
        <f>'[2]Rate Schedule '!$E$16</f>
        <v>24.79</v>
      </c>
      <c r="K21" s="30">
        <v>1</v>
      </c>
      <c r="L21" s="27">
        <f>K21*J21</f>
        <v>24.79</v>
      </c>
      <c r="M21" s="28"/>
      <c r="N21" s="31">
        <f>L21-H21</f>
        <v>3.0999999999999979</v>
      </c>
      <c r="O21" s="32">
        <f>IF((H21)=0,"",(N21/H21))</f>
        <v>0.14292300599354529</v>
      </c>
    </row>
    <row r="22" spans="2:15" ht="36.75" customHeight="1" x14ac:dyDescent="0.25">
      <c r="B22" s="65" t="s">
        <v>80</v>
      </c>
      <c r="C22" s="22"/>
      <c r="D22" s="56" t="s">
        <v>60</v>
      </c>
      <c r="E22" s="24"/>
      <c r="F22" s="173">
        <v>7.85</v>
      </c>
      <c r="G22" s="26">
        <v>1</v>
      </c>
      <c r="H22" s="27">
        <f t="shared" ref="H22:H37" si="0">G22*F22</f>
        <v>7.85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-7.85</v>
      </c>
      <c r="O22" s="32">
        <f>IF((H22)=0,"",(N22/H22))</f>
        <v>-1</v>
      </c>
    </row>
    <row r="23" spans="2:15" ht="36.75" customHeight="1" x14ac:dyDescent="0.25">
      <c r="B23" s="175" t="s">
        <v>63</v>
      </c>
      <c r="C23" s="22"/>
      <c r="D23" s="56" t="s">
        <v>60</v>
      </c>
      <c r="E23" s="57"/>
      <c r="F23" s="173">
        <v>3.2</v>
      </c>
      <c r="G23" s="26">
        <v>1</v>
      </c>
      <c r="H23" s="27">
        <f t="shared" si="0"/>
        <v>3.2</v>
      </c>
      <c r="I23" s="28"/>
      <c r="J23" s="29"/>
      <c r="K23" s="30">
        <v>1</v>
      </c>
      <c r="L23" s="27">
        <f t="shared" ref="L23:L37" si="1">K23*J23</f>
        <v>0</v>
      </c>
      <c r="M23" s="28"/>
      <c r="N23" s="31">
        <f t="shared" ref="N23:N38" si="2">L23-H23</f>
        <v>-3.2</v>
      </c>
      <c r="O23" s="32">
        <f t="shared" ref="O23:O38" si="3">IF((H23)=0,"",(N23/H23))</f>
        <v>-1</v>
      </c>
    </row>
    <row r="24" spans="2:15" x14ac:dyDescent="0.25">
      <c r="B24" s="175" t="s">
        <v>64</v>
      </c>
      <c r="C24" s="22"/>
      <c r="D24" s="23" t="s">
        <v>60</v>
      </c>
      <c r="E24" s="24"/>
      <c r="F24" s="25"/>
      <c r="G24" s="26">
        <v>1</v>
      </c>
      <c r="H24" s="27">
        <f t="shared" si="0"/>
        <v>0</v>
      </c>
      <c r="I24" s="28"/>
      <c r="J24" s="173">
        <f>'[3]Stranded Meter Calc'!$B$108</f>
        <v>1.92</v>
      </c>
      <c r="K24" s="30">
        <v>1</v>
      </c>
      <c r="L24" s="27">
        <f t="shared" si="1"/>
        <v>1.92</v>
      </c>
      <c r="M24" s="28"/>
      <c r="N24" s="31">
        <f t="shared" si="2"/>
        <v>1.92</v>
      </c>
      <c r="O24" s="32" t="str">
        <f t="shared" si="3"/>
        <v/>
      </c>
    </row>
    <row r="25" spans="2:15" x14ac:dyDescent="0.25">
      <c r="B25" s="175" t="s">
        <v>88</v>
      </c>
      <c r="C25" s="22"/>
      <c r="D25" s="23" t="s">
        <v>61</v>
      </c>
      <c r="E25" s="24"/>
      <c r="F25" s="25">
        <v>0</v>
      </c>
      <c r="G25" s="26">
        <f t="shared" ref="G25" si="4">$F$16</f>
        <v>1000</v>
      </c>
      <c r="H25" s="27">
        <f t="shared" si="0"/>
        <v>0</v>
      </c>
      <c r="I25" s="28"/>
      <c r="J25" s="29">
        <f>'[4]6. Rate Rider Calculations'!$F$104</f>
        <v>9.0291109723667786E-4</v>
      </c>
      <c r="K25" s="26">
        <f>$F$16</f>
        <v>1000</v>
      </c>
      <c r="L25" s="27">
        <f t="shared" si="1"/>
        <v>0.90291109723667784</v>
      </c>
      <c r="M25" s="28"/>
      <c r="N25" s="31">
        <f t="shared" si="2"/>
        <v>0.90291109723667784</v>
      </c>
      <c r="O25" s="32" t="str">
        <f t="shared" si="3"/>
        <v/>
      </c>
    </row>
    <row r="26" spans="2:15" x14ac:dyDescent="0.25">
      <c r="B26" s="46" t="s">
        <v>65</v>
      </c>
      <c r="C26" s="22"/>
      <c r="D26" s="23" t="s">
        <v>61</v>
      </c>
      <c r="E26" s="24"/>
      <c r="F26" s="25">
        <v>-2.0000000000000001E-4</v>
      </c>
      <c r="G26" s="26">
        <f>$F$16</f>
        <v>1000</v>
      </c>
      <c r="H26" s="27">
        <f t="shared" si="0"/>
        <v>-0.2</v>
      </c>
      <c r="I26" s="28"/>
      <c r="J26" s="173"/>
      <c r="K26" s="26">
        <f>$F$16</f>
        <v>1000</v>
      </c>
      <c r="L26" s="27">
        <f t="shared" si="1"/>
        <v>0</v>
      </c>
      <c r="M26" s="28"/>
      <c r="N26" s="31">
        <f t="shared" si="2"/>
        <v>0.2</v>
      </c>
      <c r="O26" s="32">
        <f t="shared" si="3"/>
        <v>-1</v>
      </c>
    </row>
    <row r="27" spans="2:15" x14ac:dyDescent="0.25">
      <c r="B27" s="46" t="s">
        <v>66</v>
      </c>
      <c r="C27" s="22"/>
      <c r="D27" s="23" t="s">
        <v>61</v>
      </c>
      <c r="E27" s="24"/>
      <c r="F27" s="25"/>
      <c r="G27" s="26">
        <f>$F$16</f>
        <v>1000</v>
      </c>
      <c r="H27" s="27">
        <f t="shared" si="0"/>
        <v>0</v>
      </c>
      <c r="I27" s="28"/>
      <c r="J27" s="29">
        <f>'[4]6. Rate Rider Calculations'!$F$76</f>
        <v>-7.1014119500589033E-3</v>
      </c>
      <c r="K27" s="26">
        <f>$F$16</f>
        <v>1000</v>
      </c>
      <c r="L27" s="27">
        <f t="shared" si="1"/>
        <v>-7.1014119500589032</v>
      </c>
      <c r="M27" s="28"/>
      <c r="N27" s="31">
        <f t="shared" si="2"/>
        <v>-7.1014119500589032</v>
      </c>
      <c r="O27" s="32" t="str">
        <f t="shared" si="3"/>
        <v/>
      </c>
    </row>
    <row r="28" spans="2:15" x14ac:dyDescent="0.25">
      <c r="B28" s="22" t="s">
        <v>19</v>
      </c>
      <c r="C28" s="22"/>
      <c r="D28" s="23" t="s">
        <v>61</v>
      </c>
      <c r="E28" s="24"/>
      <c r="F28" s="25">
        <f>'[2]2014 Existing Rates'!$E$7</f>
        <v>1.67E-2</v>
      </c>
      <c r="G28" s="26">
        <f>$F$16</f>
        <v>1000</v>
      </c>
      <c r="H28" s="27">
        <f t="shared" si="0"/>
        <v>16.7</v>
      </c>
      <c r="I28" s="28"/>
      <c r="J28" s="29">
        <f>'[2]Rate Schedule '!$E$17</f>
        <v>1.9099999999999999E-2</v>
      </c>
      <c r="K28" s="26">
        <f>$F$16</f>
        <v>1000</v>
      </c>
      <c r="L28" s="27">
        <f t="shared" si="1"/>
        <v>19.099999999999998</v>
      </c>
      <c r="M28" s="28"/>
      <c r="N28" s="31">
        <f t="shared" si="2"/>
        <v>2.3999999999999986</v>
      </c>
      <c r="O28" s="32">
        <f t="shared" si="3"/>
        <v>0.14371257485029931</v>
      </c>
    </row>
    <row r="29" spans="2:15" hidden="1" x14ac:dyDescent="0.25">
      <c r="B29" s="22" t="s">
        <v>20</v>
      </c>
      <c r="C29" s="22"/>
      <c r="D29" s="23"/>
      <c r="E29" s="24"/>
      <c r="F29" s="25"/>
      <c r="G29" s="26">
        <f>$F$16</f>
        <v>1000</v>
      </c>
      <c r="H29" s="27">
        <f t="shared" si="0"/>
        <v>0</v>
      </c>
      <c r="I29" s="28"/>
      <c r="J29" s="29"/>
      <c r="K29" s="26">
        <f t="shared" ref="K29:K37" si="5">$F$16</f>
        <v>1000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idden="1" x14ac:dyDescent="0.25">
      <c r="B30" s="22" t="s">
        <v>21</v>
      </c>
      <c r="C30" s="22"/>
      <c r="D30" s="23"/>
      <c r="E30" s="24"/>
      <c r="F30" s="25"/>
      <c r="G30" s="26">
        <f>$F$16</f>
        <v>1000</v>
      </c>
      <c r="H30" s="27">
        <f t="shared" si="0"/>
        <v>0</v>
      </c>
      <c r="I30" s="28"/>
      <c r="J30" s="29"/>
      <c r="K30" s="26">
        <f t="shared" si="5"/>
        <v>1000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idden="1" x14ac:dyDescent="0.25">
      <c r="B31" s="33"/>
      <c r="C31" s="22"/>
      <c r="D31" s="23"/>
      <c r="E31" s="24"/>
      <c r="F31" s="25"/>
      <c r="G31" s="26">
        <f t="shared" ref="G31:G37" si="6">$F$16</f>
        <v>1000</v>
      </c>
      <c r="H31" s="27">
        <f t="shared" si="0"/>
        <v>0</v>
      </c>
      <c r="I31" s="28"/>
      <c r="J31" s="29"/>
      <c r="K31" s="26">
        <f t="shared" si="5"/>
        <v>1000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idden="1" x14ac:dyDescent="0.25">
      <c r="B32" s="33"/>
      <c r="C32" s="22"/>
      <c r="D32" s="23"/>
      <c r="E32" s="24"/>
      <c r="F32" s="25"/>
      <c r="G32" s="26">
        <f t="shared" si="6"/>
        <v>1000</v>
      </c>
      <c r="H32" s="27">
        <f t="shared" si="0"/>
        <v>0</v>
      </c>
      <c r="I32" s="28"/>
      <c r="J32" s="29"/>
      <c r="K32" s="26">
        <f t="shared" si="5"/>
        <v>1000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idden="1" x14ac:dyDescent="0.25">
      <c r="B33" s="33"/>
      <c r="C33" s="22"/>
      <c r="D33" s="23"/>
      <c r="E33" s="24"/>
      <c r="F33" s="25"/>
      <c r="G33" s="26">
        <f t="shared" si="6"/>
        <v>1000</v>
      </c>
      <c r="H33" s="27">
        <f t="shared" si="0"/>
        <v>0</v>
      </c>
      <c r="I33" s="28"/>
      <c r="J33" s="29"/>
      <c r="K33" s="26">
        <f t="shared" si="5"/>
        <v>1000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idden="1" x14ac:dyDescent="0.25">
      <c r="B34" s="33"/>
      <c r="C34" s="22"/>
      <c r="D34" s="23"/>
      <c r="E34" s="24"/>
      <c r="F34" s="25"/>
      <c r="G34" s="26">
        <f t="shared" si="6"/>
        <v>1000</v>
      </c>
      <c r="H34" s="27">
        <f t="shared" si="0"/>
        <v>0</v>
      </c>
      <c r="I34" s="28"/>
      <c r="J34" s="29"/>
      <c r="K34" s="26">
        <f t="shared" si="5"/>
        <v>1000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idden="1" x14ac:dyDescent="0.25">
      <c r="B35" s="33"/>
      <c r="C35" s="22"/>
      <c r="D35" s="23"/>
      <c r="E35" s="24"/>
      <c r="F35" s="25"/>
      <c r="G35" s="26">
        <f t="shared" si="6"/>
        <v>1000</v>
      </c>
      <c r="H35" s="27">
        <f t="shared" si="0"/>
        <v>0</v>
      </c>
      <c r="I35" s="28"/>
      <c r="J35" s="29"/>
      <c r="K35" s="26">
        <f t="shared" si="5"/>
        <v>1000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idden="1" x14ac:dyDescent="0.25">
      <c r="B36" s="33"/>
      <c r="C36" s="22"/>
      <c r="D36" s="23"/>
      <c r="E36" s="24"/>
      <c r="F36" s="25"/>
      <c r="G36" s="26">
        <f t="shared" si="6"/>
        <v>1000</v>
      </c>
      <c r="H36" s="27">
        <f t="shared" si="0"/>
        <v>0</v>
      </c>
      <c r="I36" s="28"/>
      <c r="J36" s="29"/>
      <c r="K36" s="26">
        <f t="shared" si="5"/>
        <v>1000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hidden="1" x14ac:dyDescent="0.25">
      <c r="B37" s="33"/>
      <c r="C37" s="22"/>
      <c r="D37" s="23"/>
      <c r="E37" s="24"/>
      <c r="F37" s="25"/>
      <c r="G37" s="26">
        <f t="shared" si="6"/>
        <v>1000</v>
      </c>
      <c r="H37" s="27">
        <f t="shared" si="0"/>
        <v>0</v>
      </c>
      <c r="I37" s="28"/>
      <c r="J37" s="29"/>
      <c r="K37" s="26">
        <f t="shared" si="5"/>
        <v>1000</v>
      </c>
      <c r="L37" s="27">
        <f t="shared" si="1"/>
        <v>0</v>
      </c>
      <c r="M37" s="28"/>
      <c r="N37" s="31">
        <f t="shared" si="2"/>
        <v>0</v>
      </c>
      <c r="O37" s="32" t="str">
        <f t="shared" si="3"/>
        <v/>
      </c>
    </row>
    <row r="38" spans="2:15" s="34" customFormat="1" x14ac:dyDescent="0.25">
      <c r="B38" s="35" t="s">
        <v>22</v>
      </c>
      <c r="C38" s="36"/>
      <c r="D38" s="37"/>
      <c r="E38" s="36"/>
      <c r="F38" s="38"/>
      <c r="G38" s="39"/>
      <c r="H38" s="40">
        <f>SUM(H21:H37)</f>
        <v>49.239999999999995</v>
      </c>
      <c r="I38" s="41"/>
      <c r="J38" s="42"/>
      <c r="K38" s="43"/>
      <c r="L38" s="40">
        <f>SUM(L21:L37)</f>
        <v>39.611499147177774</v>
      </c>
      <c r="M38" s="41"/>
      <c r="N38" s="44">
        <f t="shared" si="2"/>
        <v>-9.6285008528222207</v>
      </c>
      <c r="O38" s="45">
        <f t="shared" si="3"/>
        <v>-0.19554225939931399</v>
      </c>
    </row>
    <row r="39" spans="2:15" hidden="1" x14ac:dyDescent="0.25">
      <c r="B39" s="175"/>
      <c r="C39" s="22"/>
      <c r="D39" s="56" t="s">
        <v>60</v>
      </c>
      <c r="E39" s="24"/>
      <c r="F39" s="25"/>
      <c r="G39" s="26">
        <v>1</v>
      </c>
      <c r="H39" s="27">
        <f>G39*F39</f>
        <v>0</v>
      </c>
      <c r="I39" s="28"/>
      <c r="J39" s="173"/>
      <c r="K39" s="30">
        <v>1</v>
      </c>
      <c r="L39" s="27">
        <f>K39*J39</f>
        <v>0</v>
      </c>
      <c r="M39" s="28"/>
      <c r="N39" s="31">
        <f>L39-H39</f>
        <v>0</v>
      </c>
      <c r="O39" s="32" t="str">
        <f>IF((H39)=0,"",(N39/H39))</f>
        <v/>
      </c>
    </row>
    <row r="40" spans="2:15" x14ac:dyDescent="0.25">
      <c r="B40" s="46" t="s">
        <v>23</v>
      </c>
      <c r="C40" s="22"/>
      <c r="D40" s="56" t="s">
        <v>61</v>
      </c>
      <c r="E40" s="57"/>
      <c r="F40" s="29">
        <v>-1.8E-3</v>
      </c>
      <c r="G40" s="26">
        <f>$F$16</f>
        <v>1000</v>
      </c>
      <c r="H40" s="27">
        <f t="shared" ref="H40:H46" si="7">G40*F40</f>
        <v>-1.8</v>
      </c>
      <c r="I40" s="28"/>
      <c r="J40" s="29">
        <f>'[4]6. Rate Rider Calculations'!$F$21</f>
        <v>1.2383652246340647E-4</v>
      </c>
      <c r="K40" s="26">
        <f>$F$16</f>
        <v>1000</v>
      </c>
      <c r="L40" s="27">
        <f t="shared" ref="L40:L46" si="8">K40*J40</f>
        <v>0.12383652246340647</v>
      </c>
      <c r="M40" s="28"/>
      <c r="N40" s="31">
        <f t="shared" ref="N40:N46" si="9">L40-H40</f>
        <v>1.9238365224634064</v>
      </c>
      <c r="O40" s="32">
        <f t="shared" ref="O40:O45" si="10">IF((H40)=0,"",(N40/H40))</f>
        <v>-1.0687980680352258</v>
      </c>
    </row>
    <row r="41" spans="2:15" hidden="1" x14ac:dyDescent="0.25">
      <c r="B41" s="46"/>
      <c r="C41" s="22"/>
      <c r="D41" s="23" t="s">
        <v>61</v>
      </c>
      <c r="E41" s="24"/>
      <c r="F41" s="25"/>
      <c r="G41" s="26">
        <f>$F$16</f>
        <v>1000</v>
      </c>
      <c r="H41" s="27">
        <f t="shared" si="7"/>
        <v>0</v>
      </c>
      <c r="I41" s="47"/>
      <c r="J41" s="29"/>
      <c r="K41" s="26">
        <f>$F$16</f>
        <v>1000</v>
      </c>
      <c r="L41" s="27">
        <f t="shared" si="8"/>
        <v>0</v>
      </c>
      <c r="M41" s="48"/>
      <c r="N41" s="31">
        <f t="shared" si="9"/>
        <v>0</v>
      </c>
      <c r="O41" s="32" t="str">
        <f t="shared" si="10"/>
        <v/>
      </c>
    </row>
    <row r="42" spans="2:15" hidden="1" x14ac:dyDescent="0.25">
      <c r="B42" s="46"/>
      <c r="C42" s="22"/>
      <c r="D42" s="23" t="s">
        <v>61</v>
      </c>
      <c r="E42" s="24"/>
      <c r="F42" s="25"/>
      <c r="G42" s="26">
        <f>$F$16</f>
        <v>1000</v>
      </c>
      <c r="H42" s="27">
        <f t="shared" si="7"/>
        <v>0</v>
      </c>
      <c r="I42" s="47"/>
      <c r="J42" s="29"/>
      <c r="K42" s="26">
        <f>$F$16</f>
        <v>1000</v>
      </c>
      <c r="L42" s="27">
        <f t="shared" si="8"/>
        <v>0</v>
      </c>
      <c r="M42" s="48"/>
      <c r="N42" s="31">
        <f t="shared" si="9"/>
        <v>0</v>
      </c>
      <c r="O42" s="32" t="str">
        <f t="shared" si="10"/>
        <v/>
      </c>
    </row>
    <row r="43" spans="2:15" hidden="1" x14ac:dyDescent="0.25">
      <c r="B43" s="46"/>
      <c r="C43" s="22"/>
      <c r="D43" s="23"/>
      <c r="E43" s="24"/>
      <c r="F43" s="25"/>
      <c r="G43" s="26">
        <f>$F$16</f>
        <v>1000</v>
      </c>
      <c r="H43" s="27">
        <f t="shared" si="7"/>
        <v>0</v>
      </c>
      <c r="I43" s="47"/>
      <c r="J43" s="29"/>
      <c r="K43" s="26">
        <f>$F$16</f>
        <v>1000</v>
      </c>
      <c r="L43" s="27">
        <f t="shared" si="8"/>
        <v>0</v>
      </c>
      <c r="M43" s="48"/>
      <c r="N43" s="31">
        <f t="shared" si="9"/>
        <v>0</v>
      </c>
      <c r="O43" s="32" t="str">
        <f t="shared" si="10"/>
        <v/>
      </c>
    </row>
    <row r="44" spans="2:15" x14ac:dyDescent="0.25">
      <c r="B44" s="49" t="s">
        <v>24</v>
      </c>
      <c r="C44" s="22"/>
      <c r="D44" s="23" t="s">
        <v>61</v>
      </c>
      <c r="E44" s="24"/>
      <c r="F44" s="195">
        <v>4.0000000000000003E-5</v>
      </c>
      <c r="G44" s="26">
        <f>$F$16</f>
        <v>1000</v>
      </c>
      <c r="H44" s="27">
        <f t="shared" si="7"/>
        <v>0.04</v>
      </c>
      <c r="I44" s="28"/>
      <c r="J44" s="196">
        <f>'[2]Rate Schedule '!$E$18</f>
        <v>6.9999999999999994E-5</v>
      </c>
      <c r="K44" s="26">
        <f>$F$16</f>
        <v>1000</v>
      </c>
      <c r="L44" s="27">
        <f t="shared" si="8"/>
        <v>6.9999999999999993E-2</v>
      </c>
      <c r="M44" s="28"/>
      <c r="N44" s="31">
        <f t="shared" si="9"/>
        <v>2.9999999999999992E-2</v>
      </c>
      <c r="O44" s="32">
        <f t="shared" si="10"/>
        <v>0.74999999999999978</v>
      </c>
    </row>
    <row r="45" spans="2:15" s="34" customFormat="1" x14ac:dyDescent="0.25">
      <c r="B45" s="180" t="s">
        <v>25</v>
      </c>
      <c r="C45" s="24"/>
      <c r="D45" s="181" t="s">
        <v>61</v>
      </c>
      <c r="E45" s="24"/>
      <c r="F45" s="182">
        <f>IF(ISBLANK(D14)=TRUE, 0, IF(D14="TOU", 0.64*$F$55+0.18*$F$56+0.18*$F$57, IF(AND(D14="non-TOU", G59&gt;0), F59,F58)))</f>
        <v>9.2460000000000001E-2</v>
      </c>
      <c r="G45" s="26">
        <f>$F$16*(1+$F$74)-$F$16</f>
        <v>48</v>
      </c>
      <c r="H45" s="183">
        <f t="shared" si="7"/>
        <v>4.4380800000000002</v>
      </c>
      <c r="I45" s="57"/>
      <c r="J45" s="184">
        <f>0.64*$F$55+0.18*$F$56+0.18*$F$57</f>
        <v>9.2460000000000001E-2</v>
      </c>
      <c r="K45" s="26">
        <f>$F$16*(1+$J$74)-$F$16</f>
        <v>47.099999999999909</v>
      </c>
      <c r="L45" s="183">
        <f t="shared" si="8"/>
        <v>4.3548659999999915</v>
      </c>
      <c r="M45" s="57"/>
      <c r="N45" s="185">
        <f t="shared" si="9"/>
        <v>-8.3214000000008781E-2</v>
      </c>
      <c r="O45" s="186">
        <f t="shared" si="10"/>
        <v>-1.8750000000001977E-2</v>
      </c>
    </row>
    <row r="46" spans="2:15" x14ac:dyDescent="0.25">
      <c r="B46" s="49" t="s">
        <v>26</v>
      </c>
      <c r="C46" s="22"/>
      <c r="D46" s="23" t="s">
        <v>60</v>
      </c>
      <c r="E46" s="24"/>
      <c r="F46" s="177">
        <v>0.79</v>
      </c>
      <c r="G46" s="26">
        <v>1</v>
      </c>
      <c r="H46" s="27">
        <f t="shared" si="7"/>
        <v>0.79</v>
      </c>
      <c r="I46" s="28"/>
      <c r="J46" s="177">
        <v>0.79</v>
      </c>
      <c r="K46" s="26">
        <v>1</v>
      </c>
      <c r="L46" s="27">
        <f t="shared" si="8"/>
        <v>0.79</v>
      </c>
      <c r="M46" s="28"/>
      <c r="N46" s="31">
        <f t="shared" si="9"/>
        <v>0</v>
      </c>
      <c r="O46" s="32"/>
    </row>
    <row r="47" spans="2:15" ht="25.5" x14ac:dyDescent="0.25">
      <c r="B47" s="50" t="s">
        <v>27</v>
      </c>
      <c r="C47" s="51"/>
      <c r="D47" s="51"/>
      <c r="E47" s="51"/>
      <c r="F47" s="52"/>
      <c r="G47" s="53"/>
      <c r="H47" s="54">
        <f>SUM(H39:H46)+H38</f>
        <v>52.708079999999995</v>
      </c>
      <c r="I47" s="41"/>
      <c r="J47" s="53"/>
      <c r="K47" s="55"/>
      <c r="L47" s="54">
        <f>SUM(L39:L46)+L38</f>
        <v>44.950201669641174</v>
      </c>
      <c r="M47" s="41"/>
      <c r="N47" s="44">
        <f t="shared" ref="N47:N65" si="11">L47-H47</f>
        <v>-7.757878330358821</v>
      </c>
      <c r="O47" s="45">
        <f t="shared" ref="O47:O65" si="12">IF((H47)=0,"",(N47/H47))</f>
        <v>-0.14718575084425048</v>
      </c>
    </row>
    <row r="48" spans="2:15" x14ac:dyDescent="0.25">
      <c r="B48" s="28" t="s">
        <v>28</v>
      </c>
      <c r="C48" s="28"/>
      <c r="D48" s="56" t="s">
        <v>61</v>
      </c>
      <c r="E48" s="57"/>
      <c r="F48" s="29">
        <v>6.8999999999999999E-3</v>
      </c>
      <c r="G48" s="58">
        <f>F16*(1+F74)</f>
        <v>1048</v>
      </c>
      <c r="H48" s="27">
        <f>G48*F48</f>
        <v>7.2312000000000003</v>
      </c>
      <c r="I48" s="28"/>
      <c r="J48" s="29">
        <f>'[5]13. Final 2015 RTS Rates'!$F$27</f>
        <v>7.0871105522439639E-3</v>
      </c>
      <c r="K48" s="59">
        <f>F16*(1+J74)</f>
        <v>1047.0999999999999</v>
      </c>
      <c r="L48" s="27">
        <f>K48*J48</f>
        <v>7.4209134592546535</v>
      </c>
      <c r="M48" s="28"/>
      <c r="N48" s="31">
        <f t="shared" si="11"/>
        <v>0.18971345925465322</v>
      </c>
      <c r="O48" s="32">
        <f t="shared" si="12"/>
        <v>2.6235404808974058E-2</v>
      </c>
    </row>
    <row r="49" spans="2:19" x14ac:dyDescent="0.25">
      <c r="B49" s="60" t="s">
        <v>29</v>
      </c>
      <c r="C49" s="28"/>
      <c r="D49" s="56" t="s">
        <v>61</v>
      </c>
      <c r="E49" s="57"/>
      <c r="F49" s="29">
        <v>5.1999999999999998E-3</v>
      </c>
      <c r="G49" s="58">
        <f>G48</f>
        <v>1048</v>
      </c>
      <c r="H49" s="27">
        <f>G49*F49</f>
        <v>5.4495999999999993</v>
      </c>
      <c r="I49" s="28"/>
      <c r="J49" s="29">
        <f>'[5]13. Final 2015 RTS Rates'!$H$27</f>
        <v>5.3052532652731223E-3</v>
      </c>
      <c r="K49" s="59">
        <f>K48</f>
        <v>1047.0999999999999</v>
      </c>
      <c r="L49" s="27">
        <f>K49*J49</f>
        <v>5.5551306940674863</v>
      </c>
      <c r="M49" s="28"/>
      <c r="N49" s="31">
        <f t="shared" si="11"/>
        <v>0.10553069406748694</v>
      </c>
      <c r="O49" s="32">
        <f t="shared" si="12"/>
        <v>1.9364851377621652E-2</v>
      </c>
    </row>
    <row r="50" spans="2:19" x14ac:dyDescent="0.25">
      <c r="B50" s="50" t="s">
        <v>30</v>
      </c>
      <c r="C50" s="36"/>
      <c r="D50" s="36"/>
      <c r="E50" s="36"/>
      <c r="F50" s="61"/>
      <c r="G50" s="53"/>
      <c r="H50" s="54">
        <f>SUM(H47:H49)</f>
        <v>65.38888</v>
      </c>
      <c r="I50" s="62"/>
      <c r="J50" s="63"/>
      <c r="K50" s="64"/>
      <c r="L50" s="54">
        <f>SUM(L47:L49)</f>
        <v>57.926245822963317</v>
      </c>
      <c r="M50" s="62"/>
      <c r="N50" s="44">
        <f t="shared" si="11"/>
        <v>-7.4626341770366835</v>
      </c>
      <c r="O50" s="45">
        <f t="shared" si="12"/>
        <v>-0.11412696129734419</v>
      </c>
    </row>
    <row r="51" spans="2:19" x14ac:dyDescent="0.25">
      <c r="B51" s="65" t="s">
        <v>31</v>
      </c>
      <c r="C51" s="22"/>
      <c r="D51" s="23" t="s">
        <v>61</v>
      </c>
      <c r="E51" s="24"/>
      <c r="F51" s="66">
        <v>4.4000000000000003E-3</v>
      </c>
      <c r="G51" s="58">
        <f>G49</f>
        <v>1048</v>
      </c>
      <c r="H51" s="67">
        <f t="shared" ref="H51:H57" si="13">G51*F51</f>
        <v>4.6112000000000002</v>
      </c>
      <c r="I51" s="28"/>
      <c r="J51" s="66">
        <v>4.4000000000000003E-3</v>
      </c>
      <c r="K51" s="59">
        <f>K49</f>
        <v>1047.0999999999999</v>
      </c>
      <c r="L51" s="67">
        <f t="shared" ref="L51:L57" si="14">K51*J51</f>
        <v>4.60724</v>
      </c>
      <c r="M51" s="28"/>
      <c r="N51" s="31">
        <f t="shared" si="11"/>
        <v>-3.9600000000001856E-3</v>
      </c>
      <c r="O51" s="68">
        <f t="shared" si="12"/>
        <v>-8.5877862595423867E-4</v>
      </c>
    </row>
    <row r="52" spans="2:19" x14ac:dyDescent="0.25">
      <c r="B52" s="65" t="s">
        <v>32</v>
      </c>
      <c r="C52" s="22"/>
      <c r="D52" s="23" t="s">
        <v>61</v>
      </c>
      <c r="E52" s="24"/>
      <c r="F52" s="66">
        <v>1.2999999999999999E-3</v>
      </c>
      <c r="G52" s="58">
        <f>G49</f>
        <v>1048</v>
      </c>
      <c r="H52" s="67">
        <f t="shared" si="13"/>
        <v>1.3623999999999998</v>
      </c>
      <c r="I52" s="28"/>
      <c r="J52" s="66">
        <v>1.2999999999999999E-3</v>
      </c>
      <c r="K52" s="59">
        <f>K49</f>
        <v>1047.0999999999999</v>
      </c>
      <c r="L52" s="67">
        <f t="shared" si="14"/>
        <v>1.3612299999999997</v>
      </c>
      <c r="M52" s="28"/>
      <c r="N52" s="31">
        <f t="shared" si="11"/>
        <v>-1.1700000000001154E-3</v>
      </c>
      <c r="O52" s="68">
        <f t="shared" si="12"/>
        <v>-8.5877862595428324E-4</v>
      </c>
    </row>
    <row r="53" spans="2:19" x14ac:dyDescent="0.25">
      <c r="B53" s="22" t="s">
        <v>33</v>
      </c>
      <c r="C53" s="22"/>
      <c r="D53" s="23" t="s">
        <v>60</v>
      </c>
      <c r="E53" s="24"/>
      <c r="F53" s="176">
        <v>0.25</v>
      </c>
      <c r="G53" s="26">
        <v>1</v>
      </c>
      <c r="H53" s="67">
        <f t="shared" si="13"/>
        <v>0.25</v>
      </c>
      <c r="I53" s="28"/>
      <c r="J53" s="176">
        <v>0.25</v>
      </c>
      <c r="K53" s="30">
        <v>1</v>
      </c>
      <c r="L53" s="67">
        <f t="shared" si="14"/>
        <v>0.25</v>
      </c>
      <c r="M53" s="28"/>
      <c r="N53" s="31">
        <f t="shared" si="11"/>
        <v>0</v>
      </c>
      <c r="O53" s="68">
        <f t="shared" si="12"/>
        <v>0</v>
      </c>
    </row>
    <row r="54" spans="2:19" x14ac:dyDescent="0.25">
      <c r="B54" s="22" t="s">
        <v>34</v>
      </c>
      <c r="C54" s="22"/>
      <c r="D54" s="23" t="s">
        <v>61</v>
      </c>
      <c r="E54" s="24"/>
      <c r="F54" s="66">
        <v>7.0000000000000001E-3</v>
      </c>
      <c r="G54" s="69">
        <f>F16</f>
        <v>1000</v>
      </c>
      <c r="H54" s="67">
        <f t="shared" si="13"/>
        <v>7</v>
      </c>
      <c r="I54" s="28"/>
      <c r="J54" s="66">
        <v>7.0000000000000001E-3</v>
      </c>
      <c r="K54" s="70">
        <f>F16</f>
        <v>1000</v>
      </c>
      <c r="L54" s="67">
        <f t="shared" si="14"/>
        <v>7</v>
      </c>
      <c r="M54" s="28"/>
      <c r="N54" s="31">
        <f t="shared" si="11"/>
        <v>0</v>
      </c>
      <c r="O54" s="68">
        <f t="shared" si="12"/>
        <v>0</v>
      </c>
    </row>
    <row r="55" spans="2:19" x14ac:dyDescent="0.25">
      <c r="B55" s="49" t="s">
        <v>35</v>
      </c>
      <c r="C55" s="22"/>
      <c r="D55" s="23" t="s">
        <v>61</v>
      </c>
      <c r="E55" s="24"/>
      <c r="F55" s="66">
        <v>7.4999999999999997E-2</v>
      </c>
      <c r="G55" s="69">
        <f>0.64*$F$16</f>
        <v>640</v>
      </c>
      <c r="H55" s="67">
        <f t="shared" si="13"/>
        <v>48</v>
      </c>
      <c r="I55" s="28"/>
      <c r="J55" s="66">
        <v>7.4999999999999997E-2</v>
      </c>
      <c r="K55" s="69">
        <f>G55</f>
        <v>640</v>
      </c>
      <c r="L55" s="67">
        <f t="shared" si="14"/>
        <v>48</v>
      </c>
      <c r="M55" s="28"/>
      <c r="N55" s="31">
        <f t="shared" si="11"/>
        <v>0</v>
      </c>
      <c r="O55" s="68">
        <f t="shared" si="12"/>
        <v>0</v>
      </c>
      <c r="S55" s="72"/>
    </row>
    <row r="56" spans="2:19" x14ac:dyDescent="0.25">
      <c r="B56" s="49" t="s">
        <v>36</v>
      </c>
      <c r="C56" s="22"/>
      <c r="D56" s="23" t="s">
        <v>61</v>
      </c>
      <c r="E56" s="24"/>
      <c r="F56" s="66">
        <v>0.112</v>
      </c>
      <c r="G56" s="69">
        <f>0.18*$F$16</f>
        <v>180</v>
      </c>
      <c r="H56" s="67">
        <f t="shared" si="13"/>
        <v>20.16</v>
      </c>
      <c r="I56" s="28"/>
      <c r="J56" s="66">
        <v>0.112</v>
      </c>
      <c r="K56" s="69">
        <f>G56</f>
        <v>180</v>
      </c>
      <c r="L56" s="67">
        <f t="shared" si="14"/>
        <v>20.16</v>
      </c>
      <c r="M56" s="28"/>
      <c r="N56" s="31">
        <f t="shared" si="11"/>
        <v>0</v>
      </c>
      <c r="O56" s="68">
        <f t="shared" si="12"/>
        <v>0</v>
      </c>
      <c r="S56" s="72"/>
    </row>
    <row r="57" spans="2:19" x14ac:dyDescent="0.25">
      <c r="B57" s="12" t="s">
        <v>37</v>
      </c>
      <c r="C57" s="22"/>
      <c r="D57" s="23" t="s">
        <v>61</v>
      </c>
      <c r="E57" s="24"/>
      <c r="F57" s="66">
        <v>0.13500000000000001</v>
      </c>
      <c r="G57" s="69">
        <f>0.18*$F$16</f>
        <v>180</v>
      </c>
      <c r="H57" s="67">
        <f t="shared" si="13"/>
        <v>24.3</v>
      </c>
      <c r="I57" s="28"/>
      <c r="J57" s="66">
        <v>0.13500000000000001</v>
      </c>
      <c r="K57" s="69">
        <f>G57</f>
        <v>180</v>
      </c>
      <c r="L57" s="67">
        <f t="shared" si="14"/>
        <v>24.3</v>
      </c>
      <c r="M57" s="28"/>
      <c r="N57" s="31">
        <f t="shared" si="11"/>
        <v>0</v>
      </c>
      <c r="O57" s="68">
        <f t="shared" si="12"/>
        <v>0</v>
      </c>
      <c r="S57" s="72"/>
    </row>
    <row r="58" spans="2:19" s="73" customFormat="1" x14ac:dyDescent="0.2">
      <c r="B58" s="74" t="s">
        <v>38</v>
      </c>
      <c r="C58" s="75"/>
      <c r="D58" s="76" t="s">
        <v>61</v>
      </c>
      <c r="E58" s="77"/>
      <c r="F58" s="66">
        <v>8.5999999999999993E-2</v>
      </c>
      <c r="G58" s="78">
        <f>IF(AND($T$1=1, F16&gt;=600), 600, IF(AND($T$1=1, AND(F16&lt;600, F16&gt;=0)), F16, IF(AND($T$1=2, F16&gt;=1000), 1000, IF(AND($T$1=2, AND(F16&lt;1000, F16&gt;=0)), F16))))</f>
        <v>600</v>
      </c>
      <c r="H58" s="67">
        <f>G58*F58</f>
        <v>51.599999999999994</v>
      </c>
      <c r="I58" s="79"/>
      <c r="J58" s="66">
        <v>8.5999999999999993E-2</v>
      </c>
      <c r="K58" s="78">
        <f>G58</f>
        <v>600</v>
      </c>
      <c r="L58" s="67">
        <f>K58*J58</f>
        <v>51.599999999999994</v>
      </c>
      <c r="M58" s="79"/>
      <c r="N58" s="80">
        <f t="shared" si="11"/>
        <v>0</v>
      </c>
      <c r="O58" s="68">
        <f t="shared" si="12"/>
        <v>0</v>
      </c>
    </row>
    <row r="59" spans="2:19" s="73" customFormat="1" ht="15.75" thickBot="1" x14ac:dyDescent="0.25">
      <c r="B59" s="74" t="s">
        <v>39</v>
      </c>
      <c r="C59" s="75"/>
      <c r="D59" s="76" t="s">
        <v>61</v>
      </c>
      <c r="E59" s="77"/>
      <c r="F59" s="66">
        <v>0.10100000000000001</v>
      </c>
      <c r="G59" s="78">
        <f>IF(AND($T$1=1, F16&gt;=600), F16-600, IF(AND($T$1=1, AND(F16&lt;600, F16&gt;=0)), 0, IF(AND($T$1=2, F16&gt;=1000), F16-1000, IF(AND($T$1=2, AND(F16&lt;1000, F16&gt;=0)), 0))))</f>
        <v>400</v>
      </c>
      <c r="H59" s="67">
        <f>G59*F59</f>
        <v>40.400000000000006</v>
      </c>
      <c r="I59" s="79"/>
      <c r="J59" s="66">
        <v>0.10100000000000001</v>
      </c>
      <c r="K59" s="78">
        <f>G59</f>
        <v>400</v>
      </c>
      <c r="L59" s="67">
        <f>K59*J59</f>
        <v>40.400000000000006</v>
      </c>
      <c r="M59" s="79"/>
      <c r="N59" s="80">
        <f t="shared" si="11"/>
        <v>0</v>
      </c>
      <c r="O59" s="68">
        <f t="shared" si="12"/>
        <v>0</v>
      </c>
    </row>
    <row r="60" spans="2:19" ht="8.25" customHeight="1" thickBot="1" x14ac:dyDescent="0.3">
      <c r="B60" s="81"/>
      <c r="C60" s="82"/>
      <c r="D60" s="83"/>
      <c r="E60" s="82"/>
      <c r="F60" s="84"/>
      <c r="G60" s="85"/>
      <c r="H60" s="86"/>
      <c r="I60" s="87"/>
      <c r="J60" s="84"/>
      <c r="K60" s="88"/>
      <c r="L60" s="86"/>
      <c r="M60" s="87"/>
      <c r="N60" s="89"/>
      <c r="O60" s="90"/>
    </row>
    <row r="61" spans="2:19" x14ac:dyDescent="0.25">
      <c r="B61" s="91" t="s">
        <v>40</v>
      </c>
      <c r="C61" s="22"/>
      <c r="D61" s="22"/>
      <c r="E61" s="22"/>
      <c r="F61" s="92"/>
      <c r="G61" s="93"/>
      <c r="H61" s="94">
        <f>SUM(H51:H57,H50)</f>
        <v>171.07247999999998</v>
      </c>
      <c r="I61" s="95"/>
      <c r="J61" s="96"/>
      <c r="K61" s="96"/>
      <c r="L61" s="189">
        <f>SUM(L51:L57,L50)</f>
        <v>163.6047158229633</v>
      </c>
      <c r="M61" s="97"/>
      <c r="N61" s="98">
        <f>L61-H61</f>
        <v>-7.4677641770366847</v>
      </c>
      <c r="O61" s="99">
        <f>IF((H61)=0,"",(N61/H61))</f>
        <v>-4.3652632948541374E-2</v>
      </c>
      <c r="S61" s="72"/>
    </row>
    <row r="62" spans="2:19" x14ac:dyDescent="0.25">
      <c r="B62" s="100" t="s">
        <v>41</v>
      </c>
      <c r="C62" s="22"/>
      <c r="D62" s="22"/>
      <c r="E62" s="22"/>
      <c r="F62" s="101">
        <v>0.13</v>
      </c>
      <c r="G62" s="102"/>
      <c r="H62" s="103">
        <f>H61*F62</f>
        <v>22.239422399999999</v>
      </c>
      <c r="I62" s="104"/>
      <c r="J62" s="105">
        <v>0.13</v>
      </c>
      <c r="K62" s="104"/>
      <c r="L62" s="106">
        <f>L61*J62</f>
        <v>21.268613056985231</v>
      </c>
      <c r="M62" s="107"/>
      <c r="N62" s="108">
        <f t="shared" si="11"/>
        <v>-0.97080934301476773</v>
      </c>
      <c r="O62" s="109">
        <f t="shared" si="12"/>
        <v>-4.3652632948541319E-2</v>
      </c>
      <c r="S62" s="72"/>
    </row>
    <row r="63" spans="2:19" x14ac:dyDescent="0.25">
      <c r="B63" s="110" t="s">
        <v>42</v>
      </c>
      <c r="C63" s="22"/>
      <c r="D63" s="22"/>
      <c r="E63" s="22"/>
      <c r="F63" s="111"/>
      <c r="G63" s="102"/>
      <c r="H63" s="103">
        <f>H61+H62</f>
        <v>193.31190239999998</v>
      </c>
      <c r="I63" s="104"/>
      <c r="J63" s="104"/>
      <c r="K63" s="104"/>
      <c r="L63" s="106">
        <f>L61+L62</f>
        <v>184.87332887994853</v>
      </c>
      <c r="M63" s="107"/>
      <c r="N63" s="108">
        <f t="shared" si="11"/>
        <v>-8.4385735200514489</v>
      </c>
      <c r="O63" s="109">
        <f t="shared" si="12"/>
        <v>-4.3652632948541353E-2</v>
      </c>
      <c r="S63" s="72"/>
    </row>
    <row r="64" spans="2:19" ht="15.75" customHeight="1" x14ac:dyDescent="0.25">
      <c r="B64" s="240" t="s">
        <v>43</v>
      </c>
      <c r="C64" s="240"/>
      <c r="D64" s="240"/>
      <c r="E64" s="22"/>
      <c r="F64" s="111"/>
      <c r="G64" s="102"/>
      <c r="H64" s="112">
        <f>ROUND(-H63*10%,2)</f>
        <v>-19.329999999999998</v>
      </c>
      <c r="I64" s="104"/>
      <c r="J64" s="104"/>
      <c r="K64" s="104"/>
      <c r="L64" s="113">
        <f>ROUND(-L63*10%,2)</f>
        <v>-18.489999999999998</v>
      </c>
      <c r="M64" s="107"/>
      <c r="N64" s="114">
        <f t="shared" si="11"/>
        <v>0.83999999999999986</v>
      </c>
      <c r="O64" s="115">
        <f t="shared" si="12"/>
        <v>-4.3455768235902741E-2</v>
      </c>
    </row>
    <row r="65" spans="1:15" ht="15.75" thickBot="1" x14ac:dyDescent="0.3">
      <c r="B65" s="246" t="s">
        <v>44</v>
      </c>
      <c r="C65" s="246"/>
      <c r="D65" s="246"/>
      <c r="E65" s="116"/>
      <c r="F65" s="117"/>
      <c r="G65" s="118"/>
      <c r="H65" s="119">
        <f>H63+H64</f>
        <v>173.98190239999997</v>
      </c>
      <c r="I65" s="120"/>
      <c r="J65" s="120"/>
      <c r="K65" s="120"/>
      <c r="L65" s="121">
        <f>L63+L64</f>
        <v>166.38332887994852</v>
      </c>
      <c r="M65" s="122"/>
      <c r="N65" s="123">
        <f t="shared" si="11"/>
        <v>-7.5985735200514455</v>
      </c>
      <c r="O65" s="124">
        <f t="shared" si="12"/>
        <v>-4.3674505309073151E-2</v>
      </c>
    </row>
    <row r="66" spans="1:15" s="73" customFormat="1" ht="8.25" customHeight="1" thickBot="1" x14ac:dyDescent="0.25">
      <c r="B66" s="125"/>
      <c r="C66" s="126"/>
      <c r="D66" s="127"/>
      <c r="E66" s="126"/>
      <c r="F66" s="84"/>
      <c r="G66" s="128"/>
      <c r="H66" s="86"/>
      <c r="I66" s="129"/>
      <c r="J66" s="84"/>
      <c r="K66" s="130"/>
      <c r="L66" s="86"/>
      <c r="M66" s="129"/>
      <c r="N66" s="131"/>
      <c r="O66" s="90"/>
    </row>
    <row r="67" spans="1:15" s="73" customFormat="1" ht="12.75" x14ac:dyDescent="0.2">
      <c r="B67" s="132" t="s">
        <v>45</v>
      </c>
      <c r="C67" s="75"/>
      <c r="D67" s="75"/>
      <c r="E67" s="75"/>
      <c r="F67" s="133"/>
      <c r="G67" s="134"/>
      <c r="H67" s="135">
        <f>SUM(H58:H59,H50,H51:H54)</f>
        <v>170.61248000000001</v>
      </c>
      <c r="I67" s="136"/>
      <c r="J67" s="137"/>
      <c r="K67" s="137"/>
      <c r="L67" s="188">
        <f>SUM(L58:L59,L50,L51:L54)</f>
        <v>163.14471582296332</v>
      </c>
      <c r="M67" s="138"/>
      <c r="N67" s="139">
        <f>L67-H67</f>
        <v>-7.4677641770366847</v>
      </c>
      <c r="O67" s="99">
        <f>IF((H67)=0,"",(N67/H67))</f>
        <v>-4.3770327803902061E-2</v>
      </c>
    </row>
    <row r="68" spans="1:15" s="73" customFormat="1" ht="12.75" x14ac:dyDescent="0.2">
      <c r="B68" s="140" t="s">
        <v>41</v>
      </c>
      <c r="C68" s="75"/>
      <c r="D68" s="75"/>
      <c r="E68" s="75"/>
      <c r="F68" s="141">
        <v>0.13</v>
      </c>
      <c r="G68" s="134"/>
      <c r="H68" s="142">
        <f>H67*F68</f>
        <v>22.179622400000003</v>
      </c>
      <c r="I68" s="143"/>
      <c r="J68" s="144">
        <v>0.13</v>
      </c>
      <c r="K68" s="145"/>
      <c r="L68" s="146">
        <f>L67*J68</f>
        <v>21.208813056985232</v>
      </c>
      <c r="M68" s="147"/>
      <c r="N68" s="148">
        <f>L68-H68</f>
        <v>-0.97080934301477129</v>
      </c>
      <c r="O68" s="109">
        <f>IF((H68)=0,"",(N68/H68))</f>
        <v>-4.3770327803902158E-2</v>
      </c>
    </row>
    <row r="69" spans="1:15" s="73" customFormat="1" ht="12.75" x14ac:dyDescent="0.2">
      <c r="B69" s="149" t="s">
        <v>42</v>
      </c>
      <c r="C69" s="75"/>
      <c r="D69" s="75"/>
      <c r="E69" s="75"/>
      <c r="F69" s="150"/>
      <c r="G69" s="151"/>
      <c r="H69" s="142">
        <f>H67+H68</f>
        <v>192.7921024</v>
      </c>
      <c r="I69" s="143"/>
      <c r="J69" s="143"/>
      <c r="K69" s="143"/>
      <c r="L69" s="146">
        <f>L67+L68</f>
        <v>184.35352887994856</v>
      </c>
      <c r="M69" s="147"/>
      <c r="N69" s="148">
        <f>L69-H69</f>
        <v>-8.4385735200514489</v>
      </c>
      <c r="O69" s="109">
        <f>IF((H69)=0,"",(N69/H69))</f>
        <v>-4.377032780390204E-2</v>
      </c>
    </row>
    <row r="70" spans="1:15" s="73" customFormat="1" ht="15.75" customHeight="1" x14ac:dyDescent="0.2">
      <c r="B70" s="241" t="s">
        <v>43</v>
      </c>
      <c r="C70" s="241"/>
      <c r="D70" s="241"/>
      <c r="E70" s="75"/>
      <c r="F70" s="150"/>
      <c r="G70" s="151"/>
      <c r="H70" s="152">
        <f>ROUND(-H69*10%,2)</f>
        <v>-19.28</v>
      </c>
      <c r="I70" s="143"/>
      <c r="J70" s="143"/>
      <c r="K70" s="143"/>
      <c r="L70" s="153">
        <f>ROUND(-L69*10%,2)</f>
        <v>-18.440000000000001</v>
      </c>
      <c r="M70" s="147"/>
      <c r="N70" s="154">
        <f>L70-H70</f>
        <v>0.83999999999999986</v>
      </c>
      <c r="O70" s="115">
        <f>IF((H70)=0,"",(N70/H70))</f>
        <v>-4.3568464730290447E-2</v>
      </c>
    </row>
    <row r="71" spans="1:15" s="73" customFormat="1" ht="13.5" thickBot="1" x14ac:dyDescent="0.25">
      <c r="B71" s="233" t="s">
        <v>46</v>
      </c>
      <c r="C71" s="233"/>
      <c r="D71" s="233"/>
      <c r="E71" s="155"/>
      <c r="F71" s="156"/>
      <c r="G71" s="157"/>
      <c r="H71" s="158">
        <f>SUM(H69:H70)</f>
        <v>173.5121024</v>
      </c>
      <c r="I71" s="159"/>
      <c r="J71" s="159"/>
      <c r="K71" s="159"/>
      <c r="L71" s="160">
        <f>SUM(L69:L70)</f>
        <v>165.91352887994856</v>
      </c>
      <c r="M71" s="161"/>
      <c r="N71" s="162">
        <f>L71-H71</f>
        <v>-7.5985735200514455</v>
      </c>
      <c r="O71" s="163">
        <f>IF((H71)=0,"",(N71/H71))</f>
        <v>-4.3792758055195148E-2</v>
      </c>
    </row>
    <row r="72" spans="1:15" s="73" customFormat="1" ht="8.25" customHeight="1" thickBot="1" x14ac:dyDescent="0.25">
      <c r="B72" s="125"/>
      <c r="C72" s="126"/>
      <c r="D72" s="127"/>
      <c r="E72" s="126"/>
      <c r="F72" s="164"/>
      <c r="G72" s="165"/>
      <c r="H72" s="166"/>
      <c r="I72" s="167"/>
      <c r="J72" s="164"/>
      <c r="K72" s="128"/>
      <c r="L72" s="168"/>
      <c r="M72" s="129"/>
      <c r="N72" s="169"/>
      <c r="O72" s="90"/>
    </row>
    <row r="73" spans="1:15" ht="10.5" customHeight="1" x14ac:dyDescent="0.25">
      <c r="L73" s="72"/>
    </row>
    <row r="74" spans="1:15" x14ac:dyDescent="0.25">
      <c r="B74" s="13" t="s">
        <v>47</v>
      </c>
      <c r="F74" s="170">
        <v>4.8000000000000001E-2</v>
      </c>
      <c r="J74" s="170">
        <f>'Res (100kWh)'!$J$74</f>
        <v>4.7100000000000003E-2</v>
      </c>
    </row>
    <row r="75" spans="1:15" ht="10.5" customHeight="1" x14ac:dyDescent="0.25"/>
    <row r="76" spans="1:15" x14ac:dyDescent="0.25">
      <c r="A76" s="171" t="s">
        <v>48</v>
      </c>
    </row>
    <row r="77" spans="1:15" ht="10.5" customHeight="1" x14ac:dyDescent="0.25"/>
    <row r="78" spans="1:15" x14ac:dyDescent="0.25">
      <c r="A78" s="7" t="s">
        <v>49</v>
      </c>
    </row>
    <row r="79" spans="1:15" x14ac:dyDescent="0.25">
      <c r="A79" s="7" t="s">
        <v>50</v>
      </c>
    </row>
    <row r="81" spans="1:2" x14ac:dyDescent="0.25">
      <c r="A81" s="12" t="s">
        <v>51</v>
      </c>
    </row>
    <row r="82" spans="1:2" x14ac:dyDescent="0.25">
      <c r="A82" s="12" t="s">
        <v>52</v>
      </c>
    </row>
    <row r="84" spans="1:2" x14ac:dyDescent="0.25">
      <c r="A84" s="7" t="s">
        <v>53</v>
      </c>
    </row>
    <row r="85" spans="1:2" x14ac:dyDescent="0.25">
      <c r="A85" s="7" t="s">
        <v>54</v>
      </c>
    </row>
    <row r="86" spans="1:2" x14ac:dyDescent="0.25">
      <c r="A86" s="7" t="s">
        <v>55</v>
      </c>
    </row>
    <row r="87" spans="1:2" x14ac:dyDescent="0.25">
      <c r="A87" s="7" t="s">
        <v>56</v>
      </c>
    </row>
    <row r="88" spans="1:2" x14ac:dyDescent="0.25">
      <c r="A88" s="7" t="s">
        <v>57</v>
      </c>
    </row>
    <row r="90" spans="1:2" x14ac:dyDescent="0.25">
      <c r="A90" s="172"/>
      <c r="B90" s="7" t="s">
        <v>58</v>
      </c>
    </row>
  </sheetData>
  <mergeCells count="17">
    <mergeCell ref="D12:O12"/>
    <mergeCell ref="F18:H18"/>
    <mergeCell ref="N1:O1"/>
    <mergeCell ref="N2:O2"/>
    <mergeCell ref="N5:O5"/>
    <mergeCell ref="B8:O8"/>
    <mergeCell ref="B9:O9"/>
    <mergeCell ref="N3:O3"/>
    <mergeCell ref="J18:L18"/>
    <mergeCell ref="N18:O18"/>
    <mergeCell ref="B71:D71"/>
    <mergeCell ref="D19:D20"/>
    <mergeCell ref="N19:N20"/>
    <mergeCell ref="O19:O20"/>
    <mergeCell ref="B64:D64"/>
    <mergeCell ref="B65:D65"/>
    <mergeCell ref="B70:D70"/>
  </mergeCells>
  <dataValidations count="4">
    <dataValidation type="list" allowBlank="1" showInputMessage="1" showErrorMessage="1" sqref="E48:E49 E51:E57 E60 E39:E46 E21:E37">
      <formula1>#REF!</formula1>
    </dataValidation>
    <dataValidation type="list" allowBlank="1" showInputMessage="1" showErrorMessage="1" prompt="Select Charge Unit - monthly, per kWh, per kW" sqref="D48:D49 D66 D72 D51:D60 D39:D46 D21:D37">
      <formula1>"Monthly, per kWh, per kW"</formula1>
    </dataValidation>
    <dataValidation type="list" allowBlank="1" showInputMessage="1" showErrorMessage="1" sqref="E72 E66 E58:E59">
      <formula1>#REF!</formula1>
    </dataValidation>
    <dataValidation type="list" allowBlank="1" showInputMessage="1" showErrorMessage="1" sqref="D14">
      <formula1>"TOU, non-TOU"</formula1>
    </dataValidation>
  </dataValidations>
  <pageMargins left="0.7" right="0.7" top="0.75" bottom="0.75" header="0.3" footer="0.3"/>
  <pageSetup scale="59" fitToHeight="0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theme="0" tint="-0.14999847407452621"/>
    <pageSetUpPr fitToPage="1"/>
  </sheetPr>
  <dimension ref="A1:T90"/>
  <sheetViews>
    <sheetView showGridLines="0" topLeftCell="A22" workbookViewId="0">
      <selection activeCell="L1" sqref="L1"/>
    </sheetView>
  </sheetViews>
  <sheetFormatPr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8.5703125" style="7" customWidth="1"/>
    <col min="8" max="8" width="9.7109375" style="7" customWidth="1"/>
    <col min="9" max="9" width="2.85546875" style="7" customWidth="1"/>
    <col min="10" max="10" width="12.140625" style="7" customWidth="1"/>
    <col min="11" max="11" width="8.5703125" style="7" customWidth="1"/>
    <col min="12" max="12" width="9.7109375" style="7" customWidth="1"/>
    <col min="13" max="13" width="2.85546875" style="7" customWidth="1"/>
    <col min="14" max="14" width="12.7109375" style="7" bestFit="1" customWidth="1"/>
    <col min="15" max="15" width="10.85546875" style="7" bestFit="1" customWidth="1"/>
    <col min="16" max="16" width="9.710937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248" t="str">
        <f>'Res (100kWh)'!$N$1:$O$1</f>
        <v>EB-2014-0099</v>
      </c>
      <c r="O1" s="248"/>
      <c r="P1" s="190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94</v>
      </c>
      <c r="N2" s="249">
        <f>'Res (100kWh)'!$N$2:$O$2</f>
        <v>8</v>
      </c>
      <c r="O2" s="249"/>
      <c r="P2" s="191"/>
    </row>
    <row r="3" spans="1:20" s="2" customFormat="1" ht="15" customHeight="1" x14ac:dyDescent="0.25">
      <c r="C3" s="6"/>
      <c r="D3" s="6"/>
      <c r="E3" s="6"/>
      <c r="L3" s="3" t="s">
        <v>95</v>
      </c>
      <c r="N3" s="248" t="str">
        <f>'Res (100kWh)'!$N$3:$O$3</f>
        <v>8-B</v>
      </c>
      <c r="O3" s="248"/>
      <c r="P3" s="190"/>
    </row>
    <row r="4" spans="1:20" s="2" customFormat="1" ht="9" customHeight="1" x14ac:dyDescent="0.25">
      <c r="L4" s="3"/>
      <c r="N4" s="232"/>
      <c r="O4"/>
      <c r="P4" s="192"/>
    </row>
    <row r="5" spans="1:20" s="2" customFormat="1" x14ac:dyDescent="0.25">
      <c r="L5" s="3" t="s">
        <v>75</v>
      </c>
      <c r="N5" s="248">
        <f>'Res (100kWh)'!$N$5:$O$5</f>
        <v>42118</v>
      </c>
      <c r="O5" s="248"/>
      <c r="P5" s="193"/>
    </row>
    <row r="6" spans="1:20" s="2" customFormat="1" ht="15" customHeight="1" x14ac:dyDescent="0.25">
      <c r="N6" s="7"/>
      <c r="O6"/>
      <c r="P6"/>
    </row>
    <row r="7" spans="1:20" ht="7.5" customHeight="1" x14ac:dyDescent="0.25">
      <c r="L7"/>
      <c r="M7"/>
      <c r="N7"/>
      <c r="O7"/>
      <c r="P7"/>
    </row>
    <row r="8" spans="1:20" ht="18.75" customHeight="1" x14ac:dyDescent="0.25">
      <c r="B8" s="247" t="s">
        <v>1</v>
      </c>
      <c r="C8" s="247"/>
      <c r="D8" s="247"/>
      <c r="E8" s="247"/>
      <c r="F8" s="247"/>
      <c r="G8" s="247"/>
      <c r="H8" s="247"/>
      <c r="I8" s="247"/>
      <c r="J8" s="247"/>
      <c r="K8" s="247"/>
      <c r="L8" s="247"/>
      <c r="M8" s="247"/>
      <c r="N8" s="247"/>
      <c r="O8" s="247"/>
      <c r="P8"/>
    </row>
    <row r="9" spans="1:20" ht="18.75" customHeight="1" x14ac:dyDescent="0.25">
      <c r="B9" s="247" t="s">
        <v>2</v>
      </c>
      <c r="C9" s="247"/>
      <c r="D9" s="247"/>
      <c r="E9" s="247"/>
      <c r="F9" s="247"/>
      <c r="G9" s="247"/>
      <c r="H9" s="247"/>
      <c r="I9" s="247"/>
      <c r="J9" s="247"/>
      <c r="K9" s="247"/>
      <c r="L9" s="247"/>
      <c r="M9" s="247"/>
      <c r="N9" s="247"/>
      <c r="O9" s="247"/>
      <c r="P9"/>
    </row>
    <row r="10" spans="1:20" ht="7.5" customHeight="1" x14ac:dyDescent="0.25">
      <c r="L10"/>
      <c r="M10"/>
      <c r="N10"/>
      <c r="O10"/>
      <c r="P10"/>
    </row>
    <row r="11" spans="1:20" ht="7.5" customHeight="1" x14ac:dyDescent="0.25">
      <c r="L11"/>
      <c r="M11"/>
      <c r="N11"/>
      <c r="O11"/>
      <c r="P11"/>
    </row>
    <row r="12" spans="1:20" ht="15.75" x14ac:dyDescent="0.25">
      <c r="B12" s="8" t="s">
        <v>3</v>
      </c>
      <c r="D12" s="242" t="s">
        <v>67</v>
      </c>
      <c r="E12" s="242"/>
      <c r="F12" s="242"/>
      <c r="G12" s="242"/>
      <c r="H12" s="242"/>
      <c r="I12" s="242"/>
      <c r="J12" s="242"/>
      <c r="K12" s="242"/>
      <c r="L12" s="242"/>
      <c r="M12" s="242"/>
      <c r="N12" s="242"/>
      <c r="O12" s="242"/>
    </row>
    <row r="13" spans="1:20" ht="7.5" customHeight="1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5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x14ac:dyDescent="0.25">
      <c r="B16" s="12"/>
      <c r="D16" s="13" t="s">
        <v>6</v>
      </c>
      <c r="E16" s="13"/>
      <c r="F16" s="14">
        <v>2000</v>
      </c>
      <c r="G16" s="13" t="s">
        <v>7</v>
      </c>
    </row>
    <row r="17" spans="2:15" x14ac:dyDescent="0.25">
      <c r="B17" s="12"/>
    </row>
    <row r="18" spans="2:15" x14ac:dyDescent="0.25">
      <c r="B18" s="12"/>
      <c r="D18" s="15"/>
      <c r="E18" s="15"/>
      <c r="F18" s="243" t="s">
        <v>8</v>
      </c>
      <c r="G18" s="244"/>
      <c r="H18" s="245"/>
      <c r="J18" s="243" t="s">
        <v>9</v>
      </c>
      <c r="K18" s="244"/>
      <c r="L18" s="245"/>
      <c r="N18" s="243" t="s">
        <v>10</v>
      </c>
      <c r="O18" s="245"/>
    </row>
    <row r="19" spans="2:15" x14ac:dyDescent="0.25">
      <c r="B19" s="12"/>
      <c r="D19" s="234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236" t="s">
        <v>15</v>
      </c>
      <c r="O19" s="238" t="s">
        <v>16</v>
      </c>
    </row>
    <row r="20" spans="2:15" x14ac:dyDescent="0.25">
      <c r="B20" s="12"/>
      <c r="D20" s="235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237"/>
      <c r="O20" s="239"/>
    </row>
    <row r="21" spans="2:15" ht="22.5" customHeight="1" x14ac:dyDescent="0.25">
      <c r="B21" s="22" t="s">
        <v>18</v>
      </c>
      <c r="C21" s="22"/>
      <c r="D21" s="23" t="s">
        <v>60</v>
      </c>
      <c r="E21" s="24"/>
      <c r="F21" s="174">
        <f>'[2]2014 Existing Rates'!$C$7</f>
        <v>21.69</v>
      </c>
      <c r="G21" s="26">
        <v>1</v>
      </c>
      <c r="H21" s="27">
        <f>G21*F21</f>
        <v>21.69</v>
      </c>
      <c r="I21" s="28"/>
      <c r="J21" s="173">
        <f>'[2]Rate Schedule '!$E$16</f>
        <v>24.79</v>
      </c>
      <c r="K21" s="30">
        <v>1</v>
      </c>
      <c r="L21" s="27">
        <f>K21*J21</f>
        <v>24.79</v>
      </c>
      <c r="M21" s="28"/>
      <c r="N21" s="31">
        <f>L21-H21</f>
        <v>3.0999999999999979</v>
      </c>
      <c r="O21" s="32">
        <f>IF((H21)=0,"",(N21/H21))</f>
        <v>0.14292300599354529</v>
      </c>
    </row>
    <row r="22" spans="2:15" ht="36.75" customHeight="1" x14ac:dyDescent="0.25">
      <c r="B22" s="65" t="s">
        <v>80</v>
      </c>
      <c r="C22" s="22"/>
      <c r="D22" s="56" t="s">
        <v>60</v>
      </c>
      <c r="E22" s="24"/>
      <c r="F22" s="173">
        <v>7.85</v>
      </c>
      <c r="G22" s="26">
        <v>1</v>
      </c>
      <c r="H22" s="27">
        <f t="shared" ref="H22:H37" si="0">G22*F22</f>
        <v>7.85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-7.85</v>
      </c>
      <c r="O22" s="32">
        <f>IF((H22)=0,"",(N22/H22))</f>
        <v>-1</v>
      </c>
    </row>
    <row r="23" spans="2:15" ht="36.75" customHeight="1" x14ac:dyDescent="0.25">
      <c r="B23" s="175" t="s">
        <v>63</v>
      </c>
      <c r="C23" s="22"/>
      <c r="D23" s="56" t="s">
        <v>60</v>
      </c>
      <c r="E23" s="57"/>
      <c r="F23" s="173">
        <v>3.2</v>
      </c>
      <c r="G23" s="26">
        <v>1</v>
      </c>
      <c r="H23" s="27">
        <f t="shared" si="0"/>
        <v>3.2</v>
      </c>
      <c r="I23" s="28"/>
      <c r="J23" s="29"/>
      <c r="K23" s="30">
        <v>1</v>
      </c>
      <c r="L23" s="27">
        <f t="shared" ref="L23:L37" si="1">K23*J23</f>
        <v>0</v>
      </c>
      <c r="M23" s="28"/>
      <c r="N23" s="31">
        <f t="shared" ref="N23:N38" si="2">L23-H23</f>
        <v>-3.2</v>
      </c>
      <c r="O23" s="32">
        <f t="shared" ref="O23:O38" si="3">IF((H23)=0,"",(N23/H23))</f>
        <v>-1</v>
      </c>
    </row>
    <row r="24" spans="2:15" x14ac:dyDescent="0.25">
      <c r="B24" s="175" t="s">
        <v>64</v>
      </c>
      <c r="C24" s="22"/>
      <c r="D24" s="23" t="s">
        <v>60</v>
      </c>
      <c r="E24" s="24"/>
      <c r="F24" s="25"/>
      <c r="G24" s="26">
        <v>1</v>
      </c>
      <c r="H24" s="27">
        <f t="shared" si="0"/>
        <v>0</v>
      </c>
      <c r="I24" s="28"/>
      <c r="J24" s="173">
        <f>'[3]Stranded Meter Calc'!$B$108</f>
        <v>1.92</v>
      </c>
      <c r="K24" s="30">
        <v>1</v>
      </c>
      <c r="L24" s="27">
        <f t="shared" si="1"/>
        <v>1.92</v>
      </c>
      <c r="M24" s="28"/>
      <c r="N24" s="31">
        <f t="shared" si="2"/>
        <v>1.92</v>
      </c>
      <c r="O24" s="32" t="str">
        <f t="shared" si="3"/>
        <v/>
      </c>
    </row>
    <row r="25" spans="2:15" x14ac:dyDescent="0.25">
      <c r="B25" s="175" t="s">
        <v>88</v>
      </c>
      <c r="C25" s="22"/>
      <c r="D25" s="23" t="s">
        <v>61</v>
      </c>
      <c r="E25" s="24"/>
      <c r="F25" s="25"/>
      <c r="G25" s="26">
        <f t="shared" ref="G25:G30" si="4">$F$16</f>
        <v>2000</v>
      </c>
      <c r="H25" s="27">
        <f t="shared" ref="H25" si="5">G25*F25</f>
        <v>0</v>
      </c>
      <c r="I25" s="28"/>
      <c r="J25" s="29">
        <f>'[4]6. Rate Rider Calculations'!$F$104</f>
        <v>9.0291109723667786E-4</v>
      </c>
      <c r="K25" s="26">
        <f>$F$16</f>
        <v>2000</v>
      </c>
      <c r="L25" s="27">
        <f t="shared" ref="L25" si="6">K25*J25</f>
        <v>1.8058221944733557</v>
      </c>
      <c r="M25" s="28"/>
      <c r="N25" s="31">
        <f t="shared" ref="N25" si="7">L25-H25</f>
        <v>1.8058221944733557</v>
      </c>
      <c r="O25" s="32" t="str">
        <f t="shared" ref="O25" si="8">IF((H25)=0,"",(N25/H25))</f>
        <v/>
      </c>
    </row>
    <row r="26" spans="2:15" x14ac:dyDescent="0.25">
      <c r="B26" s="46" t="s">
        <v>65</v>
      </c>
      <c r="C26" s="22"/>
      <c r="D26" s="23" t="s">
        <v>61</v>
      </c>
      <c r="E26" s="24"/>
      <c r="F26" s="25">
        <v>-2.0000000000000001E-4</v>
      </c>
      <c r="G26" s="26">
        <f t="shared" si="4"/>
        <v>2000</v>
      </c>
      <c r="H26" s="27">
        <f t="shared" si="0"/>
        <v>-0.4</v>
      </c>
      <c r="I26" s="28"/>
      <c r="J26" s="173"/>
      <c r="K26" s="26">
        <f>$F$16</f>
        <v>2000</v>
      </c>
      <c r="L26" s="27">
        <f t="shared" si="1"/>
        <v>0</v>
      </c>
      <c r="M26" s="28"/>
      <c r="N26" s="31">
        <f t="shared" si="2"/>
        <v>0.4</v>
      </c>
      <c r="O26" s="32">
        <f t="shared" si="3"/>
        <v>-1</v>
      </c>
    </row>
    <row r="27" spans="2:15" x14ac:dyDescent="0.25">
      <c r="B27" s="46" t="s">
        <v>66</v>
      </c>
      <c r="C27" s="22"/>
      <c r="D27" s="23" t="s">
        <v>61</v>
      </c>
      <c r="E27" s="24"/>
      <c r="F27" s="25"/>
      <c r="G27" s="26">
        <f t="shared" si="4"/>
        <v>2000</v>
      </c>
      <c r="H27" s="27">
        <f t="shared" si="0"/>
        <v>0</v>
      </c>
      <c r="I27" s="28"/>
      <c r="J27" s="29">
        <f>'[4]6. Rate Rider Calculations'!$F$76</f>
        <v>-7.1014119500589033E-3</v>
      </c>
      <c r="K27" s="26">
        <f>$F$16</f>
        <v>2000</v>
      </c>
      <c r="L27" s="27">
        <f t="shared" si="1"/>
        <v>-14.202823900117806</v>
      </c>
      <c r="M27" s="28"/>
      <c r="N27" s="31">
        <f t="shared" si="2"/>
        <v>-14.202823900117806</v>
      </c>
      <c r="O27" s="32" t="str">
        <f t="shared" si="3"/>
        <v/>
      </c>
    </row>
    <row r="28" spans="2:15" x14ac:dyDescent="0.25">
      <c r="B28" s="22" t="s">
        <v>19</v>
      </c>
      <c r="C28" s="22"/>
      <c r="D28" s="23" t="s">
        <v>61</v>
      </c>
      <c r="E28" s="24"/>
      <c r="F28" s="25">
        <f>'[2]2014 Existing Rates'!$E$7</f>
        <v>1.67E-2</v>
      </c>
      <c r="G28" s="26">
        <f t="shared" si="4"/>
        <v>2000</v>
      </c>
      <c r="H28" s="27">
        <f t="shared" si="0"/>
        <v>33.4</v>
      </c>
      <c r="I28" s="28"/>
      <c r="J28" s="29">
        <f>'[2]Rate Schedule '!$E$17</f>
        <v>1.9099999999999999E-2</v>
      </c>
      <c r="K28" s="26">
        <f>$F$16</f>
        <v>2000</v>
      </c>
      <c r="L28" s="27">
        <f t="shared" si="1"/>
        <v>38.199999999999996</v>
      </c>
      <c r="M28" s="28"/>
      <c r="N28" s="31">
        <f t="shared" si="2"/>
        <v>4.7999999999999972</v>
      </c>
      <c r="O28" s="32">
        <f t="shared" si="3"/>
        <v>0.14371257485029931</v>
      </c>
    </row>
    <row r="29" spans="2:15" hidden="1" x14ac:dyDescent="0.25">
      <c r="B29" s="22" t="s">
        <v>20</v>
      </c>
      <c r="C29" s="22"/>
      <c r="D29" s="23"/>
      <c r="E29" s="24"/>
      <c r="F29" s="25"/>
      <c r="G29" s="26">
        <f t="shared" si="4"/>
        <v>2000</v>
      </c>
      <c r="H29" s="27">
        <f t="shared" si="0"/>
        <v>0</v>
      </c>
      <c r="I29" s="28"/>
      <c r="J29" s="29"/>
      <c r="K29" s="26">
        <f t="shared" ref="K29:K37" si="9">$F$16</f>
        <v>2000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idden="1" x14ac:dyDescent="0.25">
      <c r="B30" s="22" t="s">
        <v>21</v>
      </c>
      <c r="C30" s="22"/>
      <c r="D30" s="23"/>
      <c r="E30" s="24"/>
      <c r="F30" s="25"/>
      <c r="G30" s="26">
        <f t="shared" si="4"/>
        <v>2000</v>
      </c>
      <c r="H30" s="27">
        <f t="shared" si="0"/>
        <v>0</v>
      </c>
      <c r="I30" s="28"/>
      <c r="J30" s="29"/>
      <c r="K30" s="26">
        <f t="shared" si="9"/>
        <v>2000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idden="1" x14ac:dyDescent="0.25">
      <c r="B31" s="33"/>
      <c r="C31" s="22"/>
      <c r="D31" s="23"/>
      <c r="E31" s="24"/>
      <c r="F31" s="25"/>
      <c r="G31" s="26">
        <f t="shared" ref="G31:G37" si="10">$F$16</f>
        <v>2000</v>
      </c>
      <c r="H31" s="27">
        <f t="shared" si="0"/>
        <v>0</v>
      </c>
      <c r="I31" s="28"/>
      <c r="J31" s="29"/>
      <c r="K31" s="26">
        <f t="shared" si="9"/>
        <v>2000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idden="1" x14ac:dyDescent="0.25">
      <c r="B32" s="33"/>
      <c r="C32" s="22"/>
      <c r="D32" s="23"/>
      <c r="E32" s="24"/>
      <c r="F32" s="25"/>
      <c r="G32" s="26">
        <f t="shared" si="10"/>
        <v>2000</v>
      </c>
      <c r="H32" s="27">
        <f t="shared" si="0"/>
        <v>0</v>
      </c>
      <c r="I32" s="28"/>
      <c r="J32" s="29"/>
      <c r="K32" s="26">
        <f t="shared" si="9"/>
        <v>2000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idden="1" x14ac:dyDescent="0.25">
      <c r="B33" s="33"/>
      <c r="C33" s="22"/>
      <c r="D33" s="23"/>
      <c r="E33" s="24"/>
      <c r="F33" s="25"/>
      <c r="G33" s="26">
        <f t="shared" si="10"/>
        <v>2000</v>
      </c>
      <c r="H33" s="27">
        <f t="shared" si="0"/>
        <v>0</v>
      </c>
      <c r="I33" s="28"/>
      <c r="J33" s="29"/>
      <c r="K33" s="26">
        <f t="shared" si="9"/>
        <v>2000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idden="1" x14ac:dyDescent="0.25">
      <c r="B34" s="33"/>
      <c r="C34" s="22"/>
      <c r="D34" s="23"/>
      <c r="E34" s="24"/>
      <c r="F34" s="25"/>
      <c r="G34" s="26">
        <f t="shared" si="10"/>
        <v>2000</v>
      </c>
      <c r="H34" s="27">
        <f t="shared" si="0"/>
        <v>0</v>
      </c>
      <c r="I34" s="28"/>
      <c r="J34" s="29"/>
      <c r="K34" s="26">
        <f t="shared" si="9"/>
        <v>2000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idden="1" x14ac:dyDescent="0.25">
      <c r="B35" s="33"/>
      <c r="C35" s="22"/>
      <c r="D35" s="23"/>
      <c r="E35" s="24"/>
      <c r="F35" s="25"/>
      <c r="G35" s="26">
        <f t="shared" si="10"/>
        <v>2000</v>
      </c>
      <c r="H35" s="27">
        <f t="shared" si="0"/>
        <v>0</v>
      </c>
      <c r="I35" s="28"/>
      <c r="J35" s="29"/>
      <c r="K35" s="26">
        <f t="shared" si="9"/>
        <v>2000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idden="1" x14ac:dyDescent="0.25">
      <c r="B36" s="33"/>
      <c r="C36" s="22"/>
      <c r="D36" s="23"/>
      <c r="E36" s="24"/>
      <c r="F36" s="25"/>
      <c r="G36" s="26">
        <f t="shared" si="10"/>
        <v>2000</v>
      </c>
      <c r="H36" s="27">
        <f t="shared" si="0"/>
        <v>0</v>
      </c>
      <c r="I36" s="28"/>
      <c r="J36" s="29"/>
      <c r="K36" s="26">
        <f t="shared" si="9"/>
        <v>2000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hidden="1" x14ac:dyDescent="0.25">
      <c r="B37" s="33"/>
      <c r="C37" s="22"/>
      <c r="D37" s="23"/>
      <c r="E37" s="24"/>
      <c r="F37" s="25"/>
      <c r="G37" s="26">
        <f t="shared" si="10"/>
        <v>2000</v>
      </c>
      <c r="H37" s="27">
        <f t="shared" si="0"/>
        <v>0</v>
      </c>
      <c r="I37" s="28"/>
      <c r="J37" s="29"/>
      <c r="K37" s="26">
        <f t="shared" si="9"/>
        <v>2000</v>
      </c>
      <c r="L37" s="27">
        <f t="shared" si="1"/>
        <v>0</v>
      </c>
      <c r="M37" s="28"/>
      <c r="N37" s="31">
        <f t="shared" si="2"/>
        <v>0</v>
      </c>
      <c r="O37" s="32" t="str">
        <f t="shared" si="3"/>
        <v/>
      </c>
    </row>
    <row r="38" spans="2:15" s="34" customFormat="1" x14ac:dyDescent="0.25">
      <c r="B38" s="35" t="s">
        <v>22</v>
      </c>
      <c r="C38" s="36"/>
      <c r="D38" s="37"/>
      <c r="E38" s="36"/>
      <c r="F38" s="38"/>
      <c r="G38" s="39"/>
      <c r="H38" s="40">
        <f>SUM(H21:H37)</f>
        <v>65.740000000000009</v>
      </c>
      <c r="I38" s="41"/>
      <c r="J38" s="42"/>
      <c r="K38" s="43"/>
      <c r="L38" s="40">
        <f>SUM(L21:L37)</f>
        <v>52.512998294355548</v>
      </c>
      <c r="M38" s="41"/>
      <c r="N38" s="44">
        <f t="shared" si="2"/>
        <v>-13.227001705644462</v>
      </c>
      <c r="O38" s="45">
        <f t="shared" si="3"/>
        <v>-0.2012017296264749</v>
      </c>
    </row>
    <row r="39" spans="2:15" hidden="1" x14ac:dyDescent="0.25">
      <c r="B39" s="175"/>
      <c r="C39" s="22"/>
      <c r="D39" s="56" t="s">
        <v>60</v>
      </c>
      <c r="E39" s="24"/>
      <c r="F39" s="25"/>
      <c r="G39" s="26">
        <v>1</v>
      </c>
      <c r="H39" s="27">
        <f>G39*F39</f>
        <v>0</v>
      </c>
      <c r="I39" s="28"/>
      <c r="J39" s="173"/>
      <c r="K39" s="30">
        <v>1</v>
      </c>
      <c r="L39" s="27">
        <f>K39*J39</f>
        <v>0</v>
      </c>
      <c r="M39" s="28"/>
      <c r="N39" s="31">
        <f>L39-H39</f>
        <v>0</v>
      </c>
      <c r="O39" s="32" t="str">
        <f>IF((H39)=0,"",(N39/H39))</f>
        <v/>
      </c>
    </row>
    <row r="40" spans="2:15" x14ac:dyDescent="0.25">
      <c r="B40" s="46" t="s">
        <v>23</v>
      </c>
      <c r="C40" s="22"/>
      <c r="D40" s="56" t="s">
        <v>61</v>
      </c>
      <c r="E40" s="57"/>
      <c r="F40" s="29">
        <v>-1.8E-3</v>
      </c>
      <c r="G40" s="26">
        <f>$F$16</f>
        <v>2000</v>
      </c>
      <c r="H40" s="27">
        <f t="shared" ref="H40:H46" si="11">G40*F40</f>
        <v>-3.6</v>
      </c>
      <c r="I40" s="28"/>
      <c r="J40" s="29">
        <f>'[4]6. Rate Rider Calculations'!$F$21</f>
        <v>1.2383652246340647E-4</v>
      </c>
      <c r="K40" s="26">
        <f>$F$16</f>
        <v>2000</v>
      </c>
      <c r="L40" s="27">
        <f t="shared" ref="L40:L46" si="12">K40*J40</f>
        <v>0.24767304492681294</v>
      </c>
      <c r="M40" s="28"/>
      <c r="N40" s="31">
        <f t="shared" ref="N40:N65" si="13">L40-H40</f>
        <v>3.8476730449268128</v>
      </c>
      <c r="O40" s="32">
        <f t="shared" ref="O40:O45" si="14">IF((H40)=0,"",(N40/H40))</f>
        <v>-1.0687980680352258</v>
      </c>
    </row>
    <row r="41" spans="2:15" hidden="1" x14ac:dyDescent="0.25">
      <c r="B41" s="46"/>
      <c r="C41" s="22"/>
      <c r="D41" s="23" t="s">
        <v>61</v>
      </c>
      <c r="E41" s="24"/>
      <c r="F41" s="25"/>
      <c r="G41" s="26">
        <f>$F$16</f>
        <v>2000</v>
      </c>
      <c r="H41" s="27">
        <f t="shared" si="11"/>
        <v>0</v>
      </c>
      <c r="I41" s="47"/>
      <c r="J41" s="29"/>
      <c r="K41" s="26">
        <f>$F$16</f>
        <v>2000</v>
      </c>
      <c r="L41" s="27">
        <f t="shared" si="12"/>
        <v>0</v>
      </c>
      <c r="M41" s="48"/>
      <c r="N41" s="31">
        <f t="shared" si="13"/>
        <v>0</v>
      </c>
      <c r="O41" s="32" t="str">
        <f t="shared" si="14"/>
        <v/>
      </c>
    </row>
    <row r="42" spans="2:15" hidden="1" x14ac:dyDescent="0.25">
      <c r="B42" s="46"/>
      <c r="C42" s="22"/>
      <c r="D42" s="23" t="s">
        <v>61</v>
      </c>
      <c r="E42" s="24"/>
      <c r="F42" s="25"/>
      <c r="G42" s="26">
        <f>$F$16</f>
        <v>2000</v>
      </c>
      <c r="H42" s="27">
        <f t="shared" si="11"/>
        <v>0</v>
      </c>
      <c r="I42" s="47"/>
      <c r="J42" s="29"/>
      <c r="K42" s="26">
        <f>$F$16</f>
        <v>2000</v>
      </c>
      <c r="L42" s="27">
        <f t="shared" si="12"/>
        <v>0</v>
      </c>
      <c r="M42" s="48"/>
      <c r="N42" s="31">
        <f t="shared" si="13"/>
        <v>0</v>
      </c>
      <c r="O42" s="32" t="str">
        <f t="shared" si="14"/>
        <v/>
      </c>
    </row>
    <row r="43" spans="2:15" hidden="1" x14ac:dyDescent="0.25">
      <c r="B43" s="46"/>
      <c r="C43" s="22"/>
      <c r="D43" s="23"/>
      <c r="E43" s="24"/>
      <c r="F43" s="25"/>
      <c r="G43" s="26">
        <f>$F$16</f>
        <v>2000</v>
      </c>
      <c r="H43" s="27">
        <f t="shared" si="11"/>
        <v>0</v>
      </c>
      <c r="I43" s="47"/>
      <c r="J43" s="29"/>
      <c r="K43" s="26">
        <f>$F$16</f>
        <v>2000</v>
      </c>
      <c r="L43" s="27">
        <f t="shared" si="12"/>
        <v>0</v>
      </c>
      <c r="M43" s="48"/>
      <c r="N43" s="31">
        <f t="shared" si="13"/>
        <v>0</v>
      </c>
      <c r="O43" s="32" t="str">
        <f t="shared" si="14"/>
        <v/>
      </c>
    </row>
    <row r="44" spans="2:15" x14ac:dyDescent="0.25">
      <c r="B44" s="49" t="s">
        <v>24</v>
      </c>
      <c r="C44" s="22"/>
      <c r="D44" s="23" t="s">
        <v>61</v>
      </c>
      <c r="E44" s="24"/>
      <c r="F44" s="195">
        <v>4.0000000000000003E-5</v>
      </c>
      <c r="G44" s="26">
        <f>$F$16</f>
        <v>2000</v>
      </c>
      <c r="H44" s="27">
        <f t="shared" si="11"/>
        <v>0.08</v>
      </c>
      <c r="I44" s="28"/>
      <c r="J44" s="196">
        <f>'[2]Rate Schedule '!$E$18</f>
        <v>6.9999999999999994E-5</v>
      </c>
      <c r="K44" s="26">
        <f>$F$16</f>
        <v>2000</v>
      </c>
      <c r="L44" s="27">
        <f t="shared" si="12"/>
        <v>0.13999999999999999</v>
      </c>
      <c r="M44" s="28"/>
      <c r="N44" s="31">
        <f t="shared" si="13"/>
        <v>5.9999999999999984E-2</v>
      </c>
      <c r="O44" s="32">
        <f t="shared" si="14"/>
        <v>0.74999999999999978</v>
      </c>
    </row>
    <row r="45" spans="2:15" s="34" customFormat="1" x14ac:dyDescent="0.25">
      <c r="B45" s="180" t="s">
        <v>25</v>
      </c>
      <c r="C45" s="24"/>
      <c r="D45" s="181" t="s">
        <v>61</v>
      </c>
      <c r="E45" s="24"/>
      <c r="F45" s="182">
        <f>IF(ISBLANK(D14)=TRUE, 0, IF(D14="TOU", 0.64*$F$55+0.18*$F$56+0.18*$F$57, IF(AND(D14="non-TOU", G59&gt;0), F59,F58)))</f>
        <v>9.2460000000000001E-2</v>
      </c>
      <c r="G45" s="26">
        <f>$F$16*(1+$F$74)-$F$16</f>
        <v>96</v>
      </c>
      <c r="H45" s="183">
        <f t="shared" si="11"/>
        <v>8.8761600000000005</v>
      </c>
      <c r="I45" s="57"/>
      <c r="J45" s="184">
        <f>0.64*$F$55+0.18*$F$56+0.18*$F$57</f>
        <v>9.2460000000000001E-2</v>
      </c>
      <c r="K45" s="26">
        <f>$F$16*(1+$J$74)-$F$16</f>
        <v>94.199999999999818</v>
      </c>
      <c r="L45" s="183">
        <f t="shared" si="12"/>
        <v>8.7097319999999829</v>
      </c>
      <c r="M45" s="57"/>
      <c r="N45" s="185">
        <f t="shared" si="13"/>
        <v>-0.16642800000001756</v>
      </c>
      <c r="O45" s="186">
        <f t="shared" si="14"/>
        <v>-1.8750000000001977E-2</v>
      </c>
    </row>
    <row r="46" spans="2:15" x14ac:dyDescent="0.25">
      <c r="B46" s="49" t="s">
        <v>26</v>
      </c>
      <c r="C46" s="22"/>
      <c r="D46" s="23" t="s">
        <v>60</v>
      </c>
      <c r="E46" s="24"/>
      <c r="F46" s="177">
        <v>0.79</v>
      </c>
      <c r="G46" s="26">
        <v>1</v>
      </c>
      <c r="H46" s="27">
        <f t="shared" si="11"/>
        <v>0.79</v>
      </c>
      <c r="I46" s="28"/>
      <c r="J46" s="177">
        <v>0.79</v>
      </c>
      <c r="K46" s="26">
        <v>1</v>
      </c>
      <c r="L46" s="27">
        <f t="shared" si="12"/>
        <v>0.79</v>
      </c>
      <c r="M46" s="28"/>
      <c r="N46" s="31">
        <f t="shared" si="13"/>
        <v>0</v>
      </c>
      <c r="O46" s="32"/>
    </row>
    <row r="47" spans="2:15" ht="25.5" x14ac:dyDescent="0.25">
      <c r="B47" s="50" t="s">
        <v>27</v>
      </c>
      <c r="C47" s="51"/>
      <c r="D47" s="51"/>
      <c r="E47" s="51"/>
      <c r="F47" s="52"/>
      <c r="G47" s="53"/>
      <c r="H47" s="54">
        <f>SUM(H39:H46)+H38</f>
        <v>71.886160000000004</v>
      </c>
      <c r="I47" s="41"/>
      <c r="J47" s="53"/>
      <c r="K47" s="55"/>
      <c r="L47" s="54">
        <f>SUM(L39:L46)+L38</f>
        <v>62.400403339282349</v>
      </c>
      <c r="M47" s="41"/>
      <c r="N47" s="44">
        <f t="shared" si="13"/>
        <v>-9.4857566607176551</v>
      </c>
      <c r="O47" s="45">
        <f t="shared" ref="O47:O65" si="15">IF((H47)=0,"",(N47/H47))</f>
        <v>-0.13195525620950757</v>
      </c>
    </row>
    <row r="48" spans="2:15" x14ac:dyDescent="0.25">
      <c r="B48" s="28" t="s">
        <v>28</v>
      </c>
      <c r="C48" s="28"/>
      <c r="D48" s="56" t="s">
        <v>61</v>
      </c>
      <c r="E48" s="57"/>
      <c r="F48" s="29">
        <v>6.8999999999999999E-3</v>
      </c>
      <c r="G48" s="58">
        <f>F16*(1+F74)</f>
        <v>2096</v>
      </c>
      <c r="H48" s="27">
        <f>G48*F48</f>
        <v>14.462400000000001</v>
      </c>
      <c r="I48" s="28"/>
      <c r="J48" s="29">
        <f>'[5]13. Final 2015 RTS Rates'!$F$27</f>
        <v>7.0871105522439639E-3</v>
      </c>
      <c r="K48" s="59">
        <f>F16*(1+J74)</f>
        <v>2094.1999999999998</v>
      </c>
      <c r="L48" s="27">
        <f>K48*J48</f>
        <v>14.841826918509307</v>
      </c>
      <c r="M48" s="28"/>
      <c r="N48" s="31">
        <f t="shared" si="13"/>
        <v>0.37942691850930643</v>
      </c>
      <c r="O48" s="32">
        <f t="shared" si="15"/>
        <v>2.6235404808974058E-2</v>
      </c>
    </row>
    <row r="49" spans="2:19" x14ac:dyDescent="0.25">
      <c r="B49" s="60" t="s">
        <v>29</v>
      </c>
      <c r="C49" s="28"/>
      <c r="D49" s="56" t="s">
        <v>61</v>
      </c>
      <c r="E49" s="57"/>
      <c r="F49" s="29">
        <v>5.1999999999999998E-3</v>
      </c>
      <c r="G49" s="58">
        <f>G48</f>
        <v>2096</v>
      </c>
      <c r="H49" s="27">
        <f>G49*F49</f>
        <v>10.899199999999999</v>
      </c>
      <c r="I49" s="28"/>
      <c r="J49" s="29">
        <f>'[5]13. Final 2015 RTS Rates'!$H$27</f>
        <v>5.3052532652731223E-3</v>
      </c>
      <c r="K49" s="59">
        <f>K48</f>
        <v>2094.1999999999998</v>
      </c>
      <c r="L49" s="27">
        <f>K49*J49</f>
        <v>11.110261388134973</v>
      </c>
      <c r="M49" s="28"/>
      <c r="N49" s="31">
        <f t="shared" si="13"/>
        <v>0.21106138813497388</v>
      </c>
      <c r="O49" s="32">
        <f t="shared" si="15"/>
        <v>1.9364851377621652E-2</v>
      </c>
    </row>
    <row r="50" spans="2:19" x14ac:dyDescent="0.25">
      <c r="B50" s="50" t="s">
        <v>30</v>
      </c>
      <c r="C50" s="36"/>
      <c r="D50" s="36"/>
      <c r="E50" s="36"/>
      <c r="F50" s="61"/>
      <c r="G50" s="53"/>
      <c r="H50" s="54">
        <f>SUM(H47:H49)</f>
        <v>97.24776</v>
      </c>
      <c r="I50" s="62"/>
      <c r="J50" s="63"/>
      <c r="K50" s="64"/>
      <c r="L50" s="54">
        <f>SUM(L47:L49)</f>
        <v>88.352491645926634</v>
      </c>
      <c r="M50" s="62"/>
      <c r="N50" s="44">
        <f t="shared" si="13"/>
        <v>-8.8952683540733659</v>
      </c>
      <c r="O50" s="45">
        <f t="shared" si="15"/>
        <v>-9.1470161925306714E-2</v>
      </c>
    </row>
    <row r="51" spans="2:19" x14ac:dyDescent="0.25">
      <c r="B51" s="65" t="s">
        <v>31</v>
      </c>
      <c r="C51" s="22"/>
      <c r="D51" s="23" t="s">
        <v>61</v>
      </c>
      <c r="E51" s="24"/>
      <c r="F51" s="66">
        <v>4.4000000000000003E-3</v>
      </c>
      <c r="G51" s="58">
        <f>G49</f>
        <v>2096</v>
      </c>
      <c r="H51" s="67">
        <f t="shared" ref="H51:H57" si="16">G51*F51</f>
        <v>9.2224000000000004</v>
      </c>
      <c r="I51" s="28"/>
      <c r="J51" s="66">
        <v>4.4000000000000003E-3</v>
      </c>
      <c r="K51" s="59">
        <f>K49</f>
        <v>2094.1999999999998</v>
      </c>
      <c r="L51" s="67">
        <f t="shared" ref="L51:L57" si="17">K51*J51</f>
        <v>9.21448</v>
      </c>
      <c r="M51" s="28"/>
      <c r="N51" s="31">
        <f t="shared" si="13"/>
        <v>-7.9200000000003712E-3</v>
      </c>
      <c r="O51" s="68">
        <f t="shared" si="15"/>
        <v>-8.5877862595423867E-4</v>
      </c>
    </row>
    <row r="52" spans="2:19" x14ac:dyDescent="0.25">
      <c r="B52" s="65" t="s">
        <v>32</v>
      </c>
      <c r="C52" s="22"/>
      <c r="D52" s="23" t="s">
        <v>61</v>
      </c>
      <c r="E52" s="24"/>
      <c r="F52" s="66">
        <v>1.2999999999999999E-3</v>
      </c>
      <c r="G52" s="58">
        <f>G49</f>
        <v>2096</v>
      </c>
      <c r="H52" s="67">
        <f t="shared" si="16"/>
        <v>2.7247999999999997</v>
      </c>
      <c r="I52" s="28"/>
      <c r="J52" s="66">
        <v>1.2999999999999999E-3</v>
      </c>
      <c r="K52" s="59">
        <f>K49</f>
        <v>2094.1999999999998</v>
      </c>
      <c r="L52" s="67">
        <f t="shared" si="17"/>
        <v>2.7224599999999994</v>
      </c>
      <c r="M52" s="28"/>
      <c r="N52" s="31">
        <f t="shared" si="13"/>
        <v>-2.3400000000002308E-3</v>
      </c>
      <c r="O52" s="68">
        <f t="shared" si="15"/>
        <v>-8.5877862595428324E-4</v>
      </c>
    </row>
    <row r="53" spans="2:19" x14ac:dyDescent="0.25">
      <c r="B53" s="22" t="s">
        <v>33</v>
      </c>
      <c r="C53" s="22"/>
      <c r="D53" s="23" t="s">
        <v>60</v>
      </c>
      <c r="E53" s="24"/>
      <c r="F53" s="176">
        <v>0.25</v>
      </c>
      <c r="G53" s="26">
        <v>1</v>
      </c>
      <c r="H53" s="67">
        <f t="shared" si="16"/>
        <v>0.25</v>
      </c>
      <c r="I53" s="28"/>
      <c r="J53" s="176">
        <v>0.25</v>
      </c>
      <c r="K53" s="30">
        <v>1</v>
      </c>
      <c r="L53" s="67">
        <f t="shared" si="17"/>
        <v>0.25</v>
      </c>
      <c r="M53" s="28"/>
      <c r="N53" s="31">
        <f t="shared" si="13"/>
        <v>0</v>
      </c>
      <c r="O53" s="68">
        <f t="shared" si="15"/>
        <v>0</v>
      </c>
    </row>
    <row r="54" spans="2:19" x14ac:dyDescent="0.25">
      <c r="B54" s="22" t="s">
        <v>34</v>
      </c>
      <c r="C54" s="22"/>
      <c r="D54" s="23" t="s">
        <v>61</v>
      </c>
      <c r="E54" s="24"/>
      <c r="F54" s="66">
        <v>7.0000000000000001E-3</v>
      </c>
      <c r="G54" s="69">
        <f>F16</f>
        <v>2000</v>
      </c>
      <c r="H54" s="67">
        <f t="shared" si="16"/>
        <v>14</v>
      </c>
      <c r="I54" s="28"/>
      <c r="J54" s="66">
        <v>7.0000000000000001E-3</v>
      </c>
      <c r="K54" s="70">
        <f>F16</f>
        <v>2000</v>
      </c>
      <c r="L54" s="67">
        <f t="shared" si="17"/>
        <v>14</v>
      </c>
      <c r="M54" s="28"/>
      <c r="N54" s="31">
        <f t="shared" si="13"/>
        <v>0</v>
      </c>
      <c r="O54" s="68">
        <f t="shared" si="15"/>
        <v>0</v>
      </c>
    </row>
    <row r="55" spans="2:19" x14ac:dyDescent="0.25">
      <c r="B55" s="49" t="s">
        <v>35</v>
      </c>
      <c r="C55" s="22"/>
      <c r="D55" s="23" t="s">
        <v>61</v>
      </c>
      <c r="E55" s="24"/>
      <c r="F55" s="66">
        <v>7.4999999999999997E-2</v>
      </c>
      <c r="G55" s="69">
        <f>0.64*$F$16</f>
        <v>1280</v>
      </c>
      <c r="H55" s="67">
        <f t="shared" si="16"/>
        <v>96</v>
      </c>
      <c r="I55" s="28"/>
      <c r="J55" s="66">
        <v>7.4999999999999997E-2</v>
      </c>
      <c r="K55" s="69">
        <f>G55</f>
        <v>1280</v>
      </c>
      <c r="L55" s="67">
        <f t="shared" si="17"/>
        <v>96</v>
      </c>
      <c r="M55" s="28"/>
      <c r="N55" s="31">
        <f t="shared" si="13"/>
        <v>0</v>
      </c>
      <c r="O55" s="68">
        <f t="shared" si="15"/>
        <v>0</v>
      </c>
      <c r="S55" s="72"/>
    </row>
    <row r="56" spans="2:19" x14ac:dyDescent="0.25">
      <c r="B56" s="49" t="s">
        <v>36</v>
      </c>
      <c r="C56" s="22"/>
      <c r="D56" s="23" t="s">
        <v>61</v>
      </c>
      <c r="E56" s="24"/>
      <c r="F56" s="66">
        <v>0.112</v>
      </c>
      <c r="G56" s="69">
        <f>0.18*$F$16</f>
        <v>360</v>
      </c>
      <c r="H56" s="67">
        <f t="shared" si="16"/>
        <v>40.32</v>
      </c>
      <c r="I56" s="28"/>
      <c r="J56" s="66">
        <v>0.112</v>
      </c>
      <c r="K56" s="69">
        <f>G56</f>
        <v>360</v>
      </c>
      <c r="L56" s="67">
        <f t="shared" si="17"/>
        <v>40.32</v>
      </c>
      <c r="M56" s="28"/>
      <c r="N56" s="31">
        <f t="shared" si="13"/>
        <v>0</v>
      </c>
      <c r="O56" s="68">
        <f t="shared" si="15"/>
        <v>0</v>
      </c>
      <c r="S56" s="72"/>
    </row>
    <row r="57" spans="2:19" x14ac:dyDescent="0.25">
      <c r="B57" s="12" t="s">
        <v>37</v>
      </c>
      <c r="C57" s="22"/>
      <c r="D57" s="23" t="s">
        <v>61</v>
      </c>
      <c r="E57" s="24"/>
      <c r="F57" s="66">
        <v>0.13500000000000001</v>
      </c>
      <c r="G57" s="69">
        <f>0.18*$F$16</f>
        <v>360</v>
      </c>
      <c r="H57" s="67">
        <f t="shared" si="16"/>
        <v>48.6</v>
      </c>
      <c r="I57" s="28"/>
      <c r="J57" s="66">
        <v>0.13500000000000001</v>
      </c>
      <c r="K57" s="69">
        <f>G57</f>
        <v>360</v>
      </c>
      <c r="L57" s="67">
        <f t="shared" si="17"/>
        <v>48.6</v>
      </c>
      <c r="M57" s="28"/>
      <c r="N57" s="31">
        <f t="shared" si="13"/>
        <v>0</v>
      </c>
      <c r="O57" s="68">
        <f t="shared" si="15"/>
        <v>0</v>
      </c>
      <c r="S57" s="72"/>
    </row>
    <row r="58" spans="2:19" s="73" customFormat="1" x14ac:dyDescent="0.2">
      <c r="B58" s="74" t="s">
        <v>38</v>
      </c>
      <c r="C58" s="75"/>
      <c r="D58" s="76" t="s">
        <v>61</v>
      </c>
      <c r="E58" s="77"/>
      <c r="F58" s="66">
        <v>8.5999999999999993E-2</v>
      </c>
      <c r="G58" s="78">
        <f>IF(AND($T$1=1, F16&gt;=600), 600, IF(AND($T$1=1, AND(F16&lt;600, F16&gt;=0)), F16, IF(AND($T$1=2, F16&gt;=1000), 1000, IF(AND($T$1=2, AND(F16&lt;1000, F16&gt;=0)), F16))))</f>
        <v>600</v>
      </c>
      <c r="H58" s="67">
        <f>G58*F58</f>
        <v>51.599999999999994</v>
      </c>
      <c r="I58" s="79"/>
      <c r="J58" s="66">
        <v>8.5999999999999993E-2</v>
      </c>
      <c r="K58" s="78">
        <f>G58</f>
        <v>600</v>
      </c>
      <c r="L58" s="67">
        <f>K58*J58</f>
        <v>51.599999999999994</v>
      </c>
      <c r="M58" s="79"/>
      <c r="N58" s="80">
        <f t="shared" si="13"/>
        <v>0</v>
      </c>
      <c r="O58" s="68">
        <f t="shared" si="15"/>
        <v>0</v>
      </c>
    </row>
    <row r="59" spans="2:19" s="73" customFormat="1" ht="15.75" thickBot="1" x14ac:dyDescent="0.25">
      <c r="B59" s="74" t="s">
        <v>39</v>
      </c>
      <c r="C59" s="75"/>
      <c r="D59" s="76" t="s">
        <v>61</v>
      </c>
      <c r="E59" s="77"/>
      <c r="F59" s="66">
        <v>0.10100000000000001</v>
      </c>
      <c r="G59" s="78">
        <f>IF(AND($T$1=1, F16&gt;=600), F16-600, IF(AND($T$1=1, AND(F16&lt;600, F16&gt;=0)), 0, IF(AND($T$1=2, F16&gt;=1000), F16-1000, IF(AND($T$1=2, AND(F16&lt;1000, F16&gt;=0)), 0))))</f>
        <v>1400</v>
      </c>
      <c r="H59" s="67">
        <f>G59*F59</f>
        <v>141.4</v>
      </c>
      <c r="I59" s="79"/>
      <c r="J59" s="66">
        <v>0.10100000000000001</v>
      </c>
      <c r="K59" s="78">
        <f>G59</f>
        <v>1400</v>
      </c>
      <c r="L59" s="67">
        <f>K59*J59</f>
        <v>141.4</v>
      </c>
      <c r="M59" s="79"/>
      <c r="N59" s="80">
        <f t="shared" si="13"/>
        <v>0</v>
      </c>
      <c r="O59" s="68">
        <f t="shared" si="15"/>
        <v>0</v>
      </c>
    </row>
    <row r="60" spans="2:19" ht="8.25" customHeight="1" thickBot="1" x14ac:dyDescent="0.3">
      <c r="B60" s="81"/>
      <c r="C60" s="82"/>
      <c r="D60" s="83"/>
      <c r="E60" s="82"/>
      <c r="F60" s="84"/>
      <c r="G60" s="85"/>
      <c r="H60" s="86"/>
      <c r="I60" s="87"/>
      <c r="J60" s="84"/>
      <c r="K60" s="88"/>
      <c r="L60" s="86"/>
      <c r="M60" s="87"/>
      <c r="N60" s="89"/>
      <c r="O60" s="90"/>
    </row>
    <row r="61" spans="2:19" x14ac:dyDescent="0.25">
      <c r="B61" s="91" t="s">
        <v>40</v>
      </c>
      <c r="C61" s="22"/>
      <c r="D61" s="22"/>
      <c r="E61" s="22"/>
      <c r="F61" s="92"/>
      <c r="G61" s="93"/>
      <c r="H61" s="94">
        <f>SUM(H51:H57,H50)</f>
        <v>308.36496</v>
      </c>
      <c r="I61" s="95"/>
      <c r="J61" s="96"/>
      <c r="K61" s="96"/>
      <c r="L61" s="189">
        <f>SUM(L51:L57,L50)</f>
        <v>299.4594316459266</v>
      </c>
      <c r="M61" s="97"/>
      <c r="N61" s="98">
        <f>L61-H61</f>
        <v>-8.9055283540733967</v>
      </c>
      <c r="O61" s="99">
        <f>IF((H61)=0,"",(N61/H61))</f>
        <v>-2.887983237159435E-2</v>
      </c>
      <c r="S61" s="72"/>
    </row>
    <row r="62" spans="2:19" x14ac:dyDescent="0.25">
      <c r="B62" s="100" t="s">
        <v>41</v>
      </c>
      <c r="C62" s="22"/>
      <c r="D62" s="22"/>
      <c r="E62" s="22"/>
      <c r="F62" s="101">
        <v>0.13</v>
      </c>
      <c r="G62" s="102"/>
      <c r="H62" s="103">
        <f>H61*F62</f>
        <v>40.0874448</v>
      </c>
      <c r="I62" s="104"/>
      <c r="J62" s="105">
        <v>0.13</v>
      </c>
      <c r="K62" s="104"/>
      <c r="L62" s="106">
        <f>L61*J62</f>
        <v>38.92972611397046</v>
      </c>
      <c r="M62" s="107"/>
      <c r="N62" s="108">
        <f t="shared" si="13"/>
        <v>-1.1577186860295399</v>
      </c>
      <c r="O62" s="109">
        <f t="shared" si="15"/>
        <v>-2.8879832371594309E-2</v>
      </c>
      <c r="S62" s="72"/>
    </row>
    <row r="63" spans="2:19" x14ac:dyDescent="0.25">
      <c r="B63" s="110" t="s">
        <v>42</v>
      </c>
      <c r="C63" s="22"/>
      <c r="D63" s="22"/>
      <c r="E63" s="22"/>
      <c r="F63" s="111"/>
      <c r="G63" s="102"/>
      <c r="H63" s="103">
        <f>H61+H62</f>
        <v>348.45240480000001</v>
      </c>
      <c r="I63" s="104"/>
      <c r="J63" s="104"/>
      <c r="K63" s="104"/>
      <c r="L63" s="106">
        <f>L61+L62</f>
        <v>338.38915775989705</v>
      </c>
      <c r="M63" s="107"/>
      <c r="N63" s="108">
        <f t="shared" si="13"/>
        <v>-10.063247040102965</v>
      </c>
      <c r="O63" s="109">
        <f t="shared" si="15"/>
        <v>-2.8879832371594426E-2</v>
      </c>
      <c r="S63" s="72"/>
    </row>
    <row r="64" spans="2:19" ht="15.75" customHeight="1" x14ac:dyDescent="0.25">
      <c r="B64" s="240" t="s">
        <v>43</v>
      </c>
      <c r="C64" s="240"/>
      <c r="D64" s="240"/>
      <c r="E64" s="22"/>
      <c r="F64" s="111"/>
      <c r="G64" s="102"/>
      <c r="H64" s="112">
        <f>ROUND(-H63*10%,2)</f>
        <v>-34.85</v>
      </c>
      <c r="I64" s="104"/>
      <c r="J64" s="104"/>
      <c r="K64" s="104"/>
      <c r="L64" s="113">
        <f>ROUND(-L63*10%,2)</f>
        <v>-33.840000000000003</v>
      </c>
      <c r="M64" s="107"/>
      <c r="N64" s="114">
        <f t="shared" si="13"/>
        <v>1.009999999999998</v>
      </c>
      <c r="O64" s="115">
        <f t="shared" si="15"/>
        <v>-2.8981348637015722E-2</v>
      </c>
    </row>
    <row r="65" spans="1:15" ht="15.75" thickBot="1" x14ac:dyDescent="0.3">
      <c r="B65" s="246" t="s">
        <v>44</v>
      </c>
      <c r="C65" s="246"/>
      <c r="D65" s="246"/>
      <c r="E65" s="116"/>
      <c r="F65" s="117"/>
      <c r="G65" s="118"/>
      <c r="H65" s="119">
        <f>H63+H64</f>
        <v>313.60240479999999</v>
      </c>
      <c r="I65" s="120"/>
      <c r="J65" s="120"/>
      <c r="K65" s="120"/>
      <c r="L65" s="121">
        <f>L63+L64</f>
        <v>304.54915775989707</v>
      </c>
      <c r="M65" s="122"/>
      <c r="N65" s="123">
        <f t="shared" si="13"/>
        <v>-9.0532470401029173</v>
      </c>
      <c r="O65" s="124">
        <f t="shared" si="15"/>
        <v>-2.8868551074653359E-2</v>
      </c>
    </row>
    <row r="66" spans="1:15" s="73" customFormat="1" ht="8.25" customHeight="1" thickBot="1" x14ac:dyDescent="0.25">
      <c r="B66" s="125"/>
      <c r="C66" s="126"/>
      <c r="D66" s="127"/>
      <c r="E66" s="126"/>
      <c r="F66" s="84"/>
      <c r="G66" s="128"/>
      <c r="H66" s="86"/>
      <c r="I66" s="129"/>
      <c r="J66" s="84"/>
      <c r="K66" s="130"/>
      <c r="L66" s="86"/>
      <c r="M66" s="129"/>
      <c r="N66" s="131"/>
      <c r="O66" s="90"/>
    </row>
    <row r="67" spans="1:15" s="73" customFormat="1" ht="12.75" x14ac:dyDescent="0.2">
      <c r="B67" s="132" t="s">
        <v>45</v>
      </c>
      <c r="C67" s="75"/>
      <c r="D67" s="75"/>
      <c r="E67" s="75"/>
      <c r="F67" s="133"/>
      <c r="G67" s="134"/>
      <c r="H67" s="135">
        <f>SUM(H58:H59,H50,H51:H54)</f>
        <v>316.44495999999998</v>
      </c>
      <c r="I67" s="136"/>
      <c r="J67" s="137"/>
      <c r="K67" s="137"/>
      <c r="L67" s="188">
        <f>SUM(L58:L59,L50,L51:L54)</f>
        <v>307.53943164592664</v>
      </c>
      <c r="M67" s="138"/>
      <c r="N67" s="139">
        <f>L67-H67</f>
        <v>-8.9055283540733399</v>
      </c>
      <c r="O67" s="99">
        <f>IF((H67)=0,"",(N67/H67))</f>
        <v>-2.8142424370017904E-2</v>
      </c>
    </row>
    <row r="68" spans="1:15" s="73" customFormat="1" ht="12.75" x14ac:dyDescent="0.2">
      <c r="B68" s="140" t="s">
        <v>41</v>
      </c>
      <c r="C68" s="75"/>
      <c r="D68" s="75"/>
      <c r="E68" s="75"/>
      <c r="F68" s="141">
        <v>0.13</v>
      </c>
      <c r="G68" s="134"/>
      <c r="H68" s="142">
        <f>H67*F68</f>
        <v>41.137844799999996</v>
      </c>
      <c r="I68" s="143"/>
      <c r="J68" s="144">
        <v>0.13</v>
      </c>
      <c r="K68" s="145"/>
      <c r="L68" s="146">
        <f>L67*J68</f>
        <v>39.980126113970464</v>
      </c>
      <c r="M68" s="147"/>
      <c r="N68" s="148">
        <f>L68-H68</f>
        <v>-1.1577186860295328</v>
      </c>
      <c r="O68" s="109">
        <f>IF((H68)=0,"",(N68/H68))</f>
        <v>-2.814242437001787E-2</v>
      </c>
    </row>
    <row r="69" spans="1:15" s="73" customFormat="1" ht="12.75" x14ac:dyDescent="0.2">
      <c r="B69" s="149" t="s">
        <v>42</v>
      </c>
      <c r="C69" s="75"/>
      <c r="D69" s="75"/>
      <c r="E69" s="75"/>
      <c r="F69" s="150"/>
      <c r="G69" s="151"/>
      <c r="H69" s="142">
        <f>H67+H68</f>
        <v>357.58280479999996</v>
      </c>
      <c r="I69" s="143"/>
      <c r="J69" s="143"/>
      <c r="K69" s="143"/>
      <c r="L69" s="146">
        <f>L67+L68</f>
        <v>347.51955775989711</v>
      </c>
      <c r="M69" s="147"/>
      <c r="N69" s="148">
        <f>L69-H69</f>
        <v>-10.063247040102851</v>
      </c>
      <c r="O69" s="109">
        <f>IF((H69)=0,"",(N69/H69))</f>
        <v>-2.8142424370017842E-2</v>
      </c>
    </row>
    <row r="70" spans="1:15" s="73" customFormat="1" ht="15.75" customHeight="1" x14ac:dyDescent="0.2">
      <c r="B70" s="241" t="s">
        <v>43</v>
      </c>
      <c r="C70" s="241"/>
      <c r="D70" s="241"/>
      <c r="E70" s="75"/>
      <c r="F70" s="150"/>
      <c r="G70" s="151"/>
      <c r="H70" s="152">
        <f>ROUND(-H69*10%,2)</f>
        <v>-35.76</v>
      </c>
      <c r="I70" s="143"/>
      <c r="J70" s="143"/>
      <c r="K70" s="143"/>
      <c r="L70" s="153">
        <f>ROUND(-L69*10%,2)</f>
        <v>-34.75</v>
      </c>
      <c r="M70" s="147"/>
      <c r="N70" s="154">
        <f>L70-H70</f>
        <v>1.009999999999998</v>
      </c>
      <c r="O70" s="115">
        <f>IF((H70)=0,"",(N70/H70))</f>
        <v>-2.8243847874720306E-2</v>
      </c>
    </row>
    <row r="71" spans="1:15" s="73" customFormat="1" ht="13.5" thickBot="1" x14ac:dyDescent="0.25">
      <c r="B71" s="233" t="s">
        <v>46</v>
      </c>
      <c r="C71" s="233"/>
      <c r="D71" s="233"/>
      <c r="E71" s="155"/>
      <c r="F71" s="156"/>
      <c r="G71" s="157"/>
      <c r="H71" s="158">
        <f>SUM(H69:H70)</f>
        <v>321.82280479999997</v>
      </c>
      <c r="I71" s="159"/>
      <c r="J71" s="159"/>
      <c r="K71" s="159"/>
      <c r="L71" s="160">
        <f>SUM(L69:L70)</f>
        <v>312.76955775989711</v>
      </c>
      <c r="M71" s="161"/>
      <c r="N71" s="162">
        <f>L71-H71</f>
        <v>-9.0532470401028604</v>
      </c>
      <c r="O71" s="163">
        <f>IF((H71)=0,"",(N71/H71))</f>
        <v>-2.8131154489592781E-2</v>
      </c>
    </row>
    <row r="72" spans="1:15" s="73" customFormat="1" ht="8.25" customHeight="1" thickBot="1" x14ac:dyDescent="0.25">
      <c r="B72" s="125"/>
      <c r="C72" s="126"/>
      <c r="D72" s="127"/>
      <c r="E72" s="126"/>
      <c r="F72" s="164"/>
      <c r="G72" s="165"/>
      <c r="H72" s="166"/>
      <c r="I72" s="167"/>
      <c r="J72" s="164"/>
      <c r="K72" s="128"/>
      <c r="L72" s="168"/>
      <c r="M72" s="129"/>
      <c r="N72" s="169"/>
      <c r="O72" s="90"/>
    </row>
    <row r="73" spans="1:15" ht="10.5" customHeight="1" x14ac:dyDescent="0.25">
      <c r="L73" s="72"/>
    </row>
    <row r="74" spans="1:15" x14ac:dyDescent="0.25">
      <c r="B74" s="13" t="s">
        <v>47</v>
      </c>
      <c r="F74" s="170">
        <v>4.8000000000000001E-2</v>
      </c>
      <c r="J74" s="170">
        <f>'Res (100kWh)'!$J$74</f>
        <v>4.7100000000000003E-2</v>
      </c>
    </row>
    <row r="75" spans="1:15" ht="10.5" customHeight="1" x14ac:dyDescent="0.25"/>
    <row r="76" spans="1:15" x14ac:dyDescent="0.25">
      <c r="A76" s="171" t="s">
        <v>48</v>
      </c>
    </row>
    <row r="77" spans="1:15" ht="10.5" customHeight="1" x14ac:dyDescent="0.25"/>
    <row r="78" spans="1:15" x14ac:dyDescent="0.25">
      <c r="A78" s="7" t="s">
        <v>49</v>
      </c>
    </row>
    <row r="79" spans="1:15" x14ac:dyDescent="0.25">
      <c r="A79" s="7" t="s">
        <v>50</v>
      </c>
    </row>
    <row r="81" spans="1:2" x14ac:dyDescent="0.25">
      <c r="A81" s="12" t="s">
        <v>51</v>
      </c>
    </row>
    <row r="82" spans="1:2" x14ac:dyDescent="0.25">
      <c r="A82" s="12" t="s">
        <v>52</v>
      </c>
    </row>
    <row r="84" spans="1:2" x14ac:dyDescent="0.25">
      <c r="A84" s="7" t="s">
        <v>53</v>
      </c>
    </row>
    <row r="85" spans="1:2" x14ac:dyDescent="0.25">
      <c r="A85" s="7" t="s">
        <v>54</v>
      </c>
    </row>
    <row r="86" spans="1:2" x14ac:dyDescent="0.25">
      <c r="A86" s="7" t="s">
        <v>55</v>
      </c>
    </row>
    <row r="87" spans="1:2" x14ac:dyDescent="0.25">
      <c r="A87" s="7" t="s">
        <v>56</v>
      </c>
    </row>
    <row r="88" spans="1:2" x14ac:dyDescent="0.25">
      <c r="A88" s="7" t="s">
        <v>57</v>
      </c>
    </row>
    <row r="90" spans="1:2" x14ac:dyDescent="0.25">
      <c r="A90" s="172"/>
      <c r="B90" s="7" t="s">
        <v>58</v>
      </c>
    </row>
  </sheetData>
  <mergeCells count="17">
    <mergeCell ref="B64:D64"/>
    <mergeCell ref="B65:D65"/>
    <mergeCell ref="B70:D70"/>
    <mergeCell ref="B71:D71"/>
    <mergeCell ref="B9:O9"/>
    <mergeCell ref="D12:O12"/>
    <mergeCell ref="F18:H18"/>
    <mergeCell ref="J18:L18"/>
    <mergeCell ref="N18:O18"/>
    <mergeCell ref="D19:D20"/>
    <mergeCell ref="N19:N20"/>
    <mergeCell ref="O19:O20"/>
    <mergeCell ref="B8:O8"/>
    <mergeCell ref="N1:O1"/>
    <mergeCell ref="N2:O2"/>
    <mergeCell ref="N3:O3"/>
    <mergeCell ref="N5:O5"/>
  </mergeCells>
  <dataValidations count="3">
    <dataValidation type="list" allowBlank="1" showInputMessage="1" showErrorMessage="1" sqref="D14">
      <formula1>"TOU, non-TOU"</formula1>
    </dataValidation>
    <dataValidation type="list" allowBlank="1" showInputMessage="1" showErrorMessage="1" sqref="E72 E66 E48:E49 E51:E60 E39:E46 E21:E37">
      <formula1>#REF!</formula1>
    </dataValidation>
    <dataValidation type="list" allowBlank="1" showInputMessage="1" showErrorMessage="1" prompt="Select Charge Unit - monthly, per kWh, per kW" sqref="D48:D49 D66 D72 D51:D60 D39:D46 D21:D37">
      <formula1>"Monthly, per kWh, per kW"</formula1>
    </dataValidation>
  </dataValidations>
  <pageMargins left="0.7" right="0.7" top="0.75" bottom="0.75" header="0.3" footer="0.3"/>
  <pageSetup scale="59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22</vt:i4>
      </vt:variant>
    </vt:vector>
  </HeadingPairs>
  <TitlesOfParts>
    <vt:vector size="45" baseType="lpstr">
      <vt:lpstr>Res (100kWh)</vt:lpstr>
      <vt:lpstr>Res (250kWh)</vt:lpstr>
      <vt:lpstr>Res (500kWh)</vt:lpstr>
      <vt:lpstr>Res (800kWh)</vt:lpstr>
      <vt:lpstr>Res (1000kWh)</vt:lpstr>
      <vt:lpstr>Res (1500kWh)</vt:lpstr>
      <vt:lpstr>Res (2000kWh)</vt:lpstr>
      <vt:lpstr>GS&lt;50 (1,000kWh)</vt:lpstr>
      <vt:lpstr>GS&lt;50 (2,000kWh)</vt:lpstr>
      <vt:lpstr>GS&lt;50 (5,000kWh)</vt:lpstr>
      <vt:lpstr>GS&lt;50 (10,000kWh)</vt:lpstr>
      <vt:lpstr>GS&lt;50 (15,000kWh)</vt:lpstr>
      <vt:lpstr>GS 50-2999 (60kW)</vt:lpstr>
      <vt:lpstr>GS 50-2999 (100kW)</vt:lpstr>
      <vt:lpstr>GS 50-2999 (455 kW)</vt:lpstr>
      <vt:lpstr>GS 3000-4999 (3,000kW)</vt:lpstr>
      <vt:lpstr>GS 3000-4999 (3,290kW)</vt:lpstr>
      <vt:lpstr>GS 3000-4999 (5,000kW)</vt:lpstr>
      <vt:lpstr>ST (1kW)</vt:lpstr>
      <vt:lpstr>ST (470kW)</vt:lpstr>
      <vt:lpstr>SL (1kW)</vt:lpstr>
      <vt:lpstr>USL (150kWh)</vt:lpstr>
      <vt:lpstr>Summary</vt:lpstr>
      <vt:lpstr>'GS 3000-4999 (3,000kW)'!Print_Area</vt:lpstr>
      <vt:lpstr>'GS 3000-4999 (3,290kW)'!Print_Area</vt:lpstr>
      <vt:lpstr>'GS 3000-4999 (5,000kW)'!Print_Area</vt:lpstr>
      <vt:lpstr>'GS 50-2999 (100kW)'!Print_Area</vt:lpstr>
      <vt:lpstr>'GS 50-2999 (455 kW)'!Print_Area</vt:lpstr>
      <vt:lpstr>'GS 50-2999 (60kW)'!Print_Area</vt:lpstr>
      <vt:lpstr>'GS&lt;50 (1,000kWh)'!Print_Area</vt:lpstr>
      <vt:lpstr>'GS&lt;50 (10,000kWh)'!Print_Area</vt:lpstr>
      <vt:lpstr>'GS&lt;50 (15,000kWh)'!Print_Area</vt:lpstr>
      <vt:lpstr>'GS&lt;50 (2,000kWh)'!Print_Area</vt:lpstr>
      <vt:lpstr>'GS&lt;50 (5,000kWh)'!Print_Area</vt:lpstr>
      <vt:lpstr>'Res (1000kWh)'!Print_Area</vt:lpstr>
      <vt:lpstr>'Res (100kWh)'!Print_Area</vt:lpstr>
      <vt:lpstr>'Res (1500kWh)'!Print_Area</vt:lpstr>
      <vt:lpstr>'Res (2000kWh)'!Print_Area</vt:lpstr>
      <vt:lpstr>'Res (250kWh)'!Print_Area</vt:lpstr>
      <vt:lpstr>'Res (500kWh)'!Print_Area</vt:lpstr>
      <vt:lpstr>'Res (800kWh)'!Print_Area</vt:lpstr>
      <vt:lpstr>'SL (1kW)'!Print_Area</vt:lpstr>
      <vt:lpstr>'ST (1kW)'!Print_Area</vt:lpstr>
      <vt:lpstr>'ST (470kW)'!Print_Area</vt:lpstr>
      <vt:lpstr>'USL (150kWh)'!Print_Area</vt:lpstr>
    </vt:vector>
  </TitlesOfParts>
  <Company>Cambridge and North Dumfries Hydro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Colleen Calhoun</dc:creator>
  <cp:lastModifiedBy>Melissa Casson</cp:lastModifiedBy>
  <cp:lastPrinted>2014-12-11T18:00:22Z</cp:lastPrinted>
  <dcterms:created xsi:type="dcterms:W3CDTF">2013-08-28T15:11:04Z</dcterms:created>
  <dcterms:modified xsi:type="dcterms:W3CDTF">2015-04-22T20:36:25Z</dcterms:modified>
</cp:coreProperties>
</file>