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-90" windowWidth="12120" windowHeight="8415" tabRatio="602"/>
  </bookViews>
  <sheets>
    <sheet name="Purchased Power Model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hidden="1">[2]Sheet1!$G$40:$K$40</definedName>
    <definedName name="ALL">#REF!</definedName>
    <definedName name="ApprovedYr">[3]Z1.ModelVariables!$C$12</definedName>
    <definedName name="CAPCOSTS">#REF!</definedName>
    <definedName name="CAPITAL">#REF!</definedName>
    <definedName name="CapitalExpListing">#REF!</definedName>
    <definedName name="CASHFLOW">#REF!</definedName>
    <definedName name="cc">#REF!</definedName>
    <definedName name="contactf">#REF!</definedName>
    <definedName name="_xlnm.Criteria">#REF!</definedName>
    <definedName name="CRLF">[3]Z1.ModelVariables!$C$10</definedName>
    <definedName name="_xlnm.Database">#REF!</definedName>
    <definedName name="DaysInPreviousYear">'[4]Distribution Revenue by Source'!$B$22</definedName>
    <definedName name="DaysInYear">'[4]Distribution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[3]Z1.ModelVariables!$C$14</definedName>
    <definedName name="histdate">[5]Financials!$E$76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[2]Sheet1!$A$1:$I$40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_xlnm.Print_Area" localSheetId="0">'Purchased Power Model'!$P$32:$T$50</definedName>
    <definedName name="Print_Area_MI">#REF!</definedName>
    <definedName name="print_end">#REF!</definedName>
    <definedName name="PRIOR">#REF!</definedName>
    <definedName name="Ratebase">'[4]Distribution Revenue by Source'!$C$25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[3]A1.Admin!$C$13</definedName>
    <definedName name="TestYrPL">'[6]Revenue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[5]Financials!$A$1</definedName>
    <definedName name="utitliy1">[7]Financials!$A$1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45621" iterate="1" iterateCount="1000"/>
</workbook>
</file>

<file path=xl/calcChain.xml><?xml version="1.0" encoding="utf-8"?>
<calcChain xmlns="http://schemas.openxmlformats.org/spreadsheetml/2006/main">
  <c r="D206" i="7" l="1"/>
  <c r="C206" i="7"/>
  <c r="D205" i="7"/>
  <c r="C205" i="7"/>
  <c r="D204" i="7"/>
  <c r="C204" i="7"/>
  <c r="D203" i="7"/>
  <c r="C203" i="7"/>
  <c r="D202" i="7"/>
  <c r="C202" i="7"/>
  <c r="D201" i="7"/>
  <c r="C201" i="7"/>
  <c r="D200" i="7"/>
  <c r="C200" i="7"/>
  <c r="D199" i="7"/>
  <c r="C199" i="7"/>
  <c r="D198" i="7"/>
  <c r="C198" i="7"/>
  <c r="D197" i="7"/>
  <c r="C197" i="7"/>
  <c r="D196" i="7"/>
  <c r="C196" i="7"/>
  <c r="D195" i="7"/>
  <c r="C195" i="7"/>
  <c r="I195" i="7" l="1"/>
  <c r="I196" i="7" s="1"/>
  <c r="I197" i="7" s="1"/>
  <c r="I198" i="7" s="1"/>
  <c r="I199" i="7" s="1"/>
  <c r="I200" i="7" s="1"/>
  <c r="I201" i="7" s="1"/>
  <c r="I202" i="7" s="1"/>
  <c r="I203" i="7" s="1"/>
  <c r="I204" i="7" s="1"/>
  <c r="I205" i="7" s="1"/>
  <c r="I206" i="7" s="1"/>
  <c r="H195" i="7" l="1"/>
  <c r="H196" i="7" s="1"/>
  <c r="H197" i="7" s="1"/>
  <c r="H198" i="7" s="1"/>
  <c r="H199" i="7" s="1"/>
  <c r="H200" i="7" s="1"/>
  <c r="H201" i="7" s="1"/>
  <c r="H202" i="7" s="1"/>
  <c r="H203" i="7" s="1"/>
  <c r="H204" i="7" s="1"/>
  <c r="H205" i="7" s="1"/>
  <c r="H206" i="7" s="1"/>
  <c r="Q49" i="7"/>
  <c r="Q44" i="7"/>
  <c r="Q45" i="7"/>
  <c r="Q46" i="7"/>
  <c r="Q47" i="7"/>
  <c r="Q48" i="7"/>
  <c r="Q43" i="7"/>
  <c r="P49" i="7"/>
  <c r="Q41" i="7"/>
  <c r="Q36" i="7"/>
  <c r="Q37" i="7"/>
  <c r="Q38" i="7"/>
  <c r="Q39" i="7"/>
  <c r="Q40" i="7"/>
  <c r="Q35" i="7"/>
  <c r="Q32" i="7"/>
  <c r="Q31" i="7"/>
  <c r="Q30" i="7"/>
  <c r="P40" i="7"/>
  <c r="P48" i="7" s="1"/>
  <c r="P36" i="7"/>
  <c r="P44" i="7" s="1"/>
  <c r="P37" i="7"/>
  <c r="P45" i="7" s="1"/>
  <c r="P38" i="7"/>
  <c r="P46" i="7" s="1"/>
  <c r="P39" i="7"/>
  <c r="P47" i="7" s="1"/>
  <c r="P35" i="7"/>
  <c r="P43" i="7" s="1"/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3" i="7"/>
  <c r="J183" i="7" l="1"/>
  <c r="N183" i="7" s="1"/>
  <c r="O183" i="7" s="1"/>
  <c r="B228" i="7"/>
  <c r="B227" i="7"/>
  <c r="N182" i="7"/>
  <c r="O182" i="7" s="1"/>
  <c r="N181" i="7"/>
  <c r="O181" i="7" s="1"/>
  <c r="N180" i="7"/>
  <c r="O180" i="7" s="1"/>
  <c r="N179" i="7"/>
  <c r="O179" i="7" s="1"/>
  <c r="N178" i="7"/>
  <c r="O178" i="7" s="1"/>
  <c r="N177" i="7"/>
  <c r="O177" i="7" s="1"/>
  <c r="N176" i="7"/>
  <c r="O176" i="7" s="1"/>
  <c r="N175" i="7"/>
  <c r="O175" i="7" s="1"/>
  <c r="N174" i="7"/>
  <c r="O174" i="7" s="1"/>
  <c r="N173" i="7"/>
  <c r="O173" i="7" s="1"/>
  <c r="N172" i="7"/>
  <c r="O172" i="7" s="1"/>
  <c r="N171" i="7"/>
  <c r="O171" i="7" s="1"/>
  <c r="N170" i="7"/>
  <c r="O170" i="7" s="1"/>
  <c r="N169" i="7"/>
  <c r="O169" i="7" s="1"/>
  <c r="N168" i="7"/>
  <c r="O168" i="7" s="1"/>
  <c r="N167" i="7"/>
  <c r="O167" i="7" s="1"/>
  <c r="N166" i="7"/>
  <c r="O166" i="7" s="1"/>
  <c r="N165" i="7"/>
  <c r="O165" i="7" s="1"/>
  <c r="N164" i="7"/>
  <c r="O164" i="7" s="1"/>
  <c r="N163" i="7"/>
  <c r="O163" i="7" s="1"/>
  <c r="N162" i="7"/>
  <c r="O162" i="7" s="1"/>
  <c r="N161" i="7"/>
  <c r="O161" i="7" s="1"/>
  <c r="N160" i="7"/>
  <c r="O160" i="7" s="1"/>
  <c r="N159" i="7"/>
  <c r="O159" i="7" s="1"/>
  <c r="N158" i="7"/>
  <c r="O158" i="7" s="1"/>
  <c r="N157" i="7"/>
  <c r="O157" i="7" s="1"/>
  <c r="N156" i="7"/>
  <c r="O156" i="7" s="1"/>
  <c r="N155" i="7"/>
  <c r="O155" i="7" s="1"/>
  <c r="N154" i="7"/>
  <c r="O154" i="7" s="1"/>
  <c r="N153" i="7"/>
  <c r="O153" i="7" s="1"/>
  <c r="N152" i="7"/>
  <c r="O152" i="7" s="1"/>
  <c r="N151" i="7"/>
  <c r="O151" i="7" s="1"/>
  <c r="N150" i="7"/>
  <c r="O150" i="7" s="1"/>
  <c r="N149" i="7"/>
  <c r="O149" i="7" s="1"/>
  <c r="N148" i="7"/>
  <c r="O148" i="7" s="1"/>
  <c r="N147" i="7"/>
  <c r="O147" i="7" s="1"/>
  <c r="N146" i="7"/>
  <c r="O146" i="7" s="1"/>
  <c r="N145" i="7"/>
  <c r="O145" i="7" s="1"/>
  <c r="N144" i="7"/>
  <c r="O144" i="7" s="1"/>
  <c r="N143" i="7"/>
  <c r="O143" i="7" s="1"/>
  <c r="N142" i="7"/>
  <c r="O142" i="7" s="1"/>
  <c r="N141" i="7"/>
  <c r="O141" i="7" s="1"/>
  <c r="N140" i="7"/>
  <c r="O140" i="7" s="1"/>
  <c r="N139" i="7"/>
  <c r="O139" i="7" s="1"/>
  <c r="N138" i="7"/>
  <c r="O138" i="7" s="1"/>
  <c r="N137" i="7"/>
  <c r="O137" i="7" s="1"/>
  <c r="N136" i="7"/>
  <c r="O136" i="7" s="1"/>
  <c r="N135" i="7"/>
  <c r="O135" i="7" s="1"/>
  <c r="N134" i="7"/>
  <c r="O134" i="7" s="1"/>
  <c r="N133" i="7"/>
  <c r="O133" i="7" s="1"/>
  <c r="N132" i="7"/>
  <c r="O132" i="7" s="1"/>
  <c r="N131" i="7"/>
  <c r="O131" i="7" s="1"/>
  <c r="N130" i="7"/>
  <c r="O130" i="7" s="1"/>
  <c r="N129" i="7"/>
  <c r="O129" i="7" s="1"/>
  <c r="N128" i="7"/>
  <c r="O128" i="7" s="1"/>
  <c r="N127" i="7"/>
  <c r="O127" i="7" s="1"/>
  <c r="N126" i="7"/>
  <c r="O126" i="7" s="1"/>
  <c r="N125" i="7"/>
  <c r="O125" i="7" s="1"/>
  <c r="N124" i="7"/>
  <c r="O124" i="7" s="1"/>
  <c r="N123" i="7"/>
  <c r="O123" i="7" s="1"/>
  <c r="N122" i="7"/>
  <c r="O122" i="7" s="1"/>
  <c r="N121" i="7"/>
  <c r="O121" i="7" s="1"/>
  <c r="N120" i="7"/>
  <c r="O120" i="7" s="1"/>
  <c r="N119" i="7"/>
  <c r="O119" i="7" s="1"/>
  <c r="N118" i="7"/>
  <c r="O118" i="7" s="1"/>
  <c r="N117" i="7"/>
  <c r="O117" i="7" s="1"/>
  <c r="N116" i="7"/>
  <c r="O116" i="7" s="1"/>
  <c r="N115" i="7"/>
  <c r="O115" i="7" s="1"/>
  <c r="N114" i="7"/>
  <c r="O114" i="7" s="1"/>
  <c r="N113" i="7"/>
  <c r="O113" i="7" s="1"/>
  <c r="N112" i="7"/>
  <c r="O112" i="7" s="1"/>
  <c r="N111" i="7"/>
  <c r="O111" i="7" s="1"/>
  <c r="N110" i="7"/>
  <c r="O110" i="7" s="1"/>
  <c r="N109" i="7"/>
  <c r="O109" i="7" s="1"/>
  <c r="N108" i="7"/>
  <c r="O108" i="7" s="1"/>
  <c r="N107" i="7"/>
  <c r="O107" i="7" s="1"/>
  <c r="N106" i="7"/>
  <c r="O106" i="7" s="1"/>
  <c r="N105" i="7"/>
  <c r="O105" i="7" s="1"/>
  <c r="N104" i="7"/>
  <c r="O104" i="7" s="1"/>
  <c r="N103" i="7"/>
  <c r="O103" i="7" s="1"/>
  <c r="N102" i="7"/>
  <c r="O102" i="7" s="1"/>
  <c r="N101" i="7"/>
  <c r="O101" i="7" s="1"/>
  <c r="N100" i="7"/>
  <c r="O100" i="7" s="1"/>
  <c r="N99" i="7"/>
  <c r="O99" i="7" s="1"/>
  <c r="N98" i="7"/>
  <c r="O98" i="7" s="1"/>
  <c r="N97" i="7"/>
  <c r="O97" i="7" s="1"/>
  <c r="N96" i="7"/>
  <c r="O96" i="7" s="1"/>
  <c r="N95" i="7"/>
  <c r="O95" i="7" s="1"/>
  <c r="N94" i="7"/>
  <c r="O94" i="7" s="1"/>
  <c r="N93" i="7"/>
  <c r="O93" i="7" s="1"/>
  <c r="N92" i="7"/>
  <c r="O92" i="7" s="1"/>
  <c r="N91" i="7"/>
  <c r="O91" i="7" s="1"/>
  <c r="N90" i="7"/>
  <c r="O90" i="7" s="1"/>
  <c r="N89" i="7"/>
  <c r="O89" i="7" s="1"/>
  <c r="N88" i="7"/>
  <c r="O88" i="7" s="1"/>
  <c r="N87" i="7"/>
  <c r="O87" i="7" s="1"/>
  <c r="N86" i="7"/>
  <c r="O86" i="7" s="1"/>
  <c r="N85" i="7"/>
  <c r="O85" i="7" s="1"/>
  <c r="N84" i="7"/>
  <c r="O84" i="7" s="1"/>
  <c r="N83" i="7"/>
  <c r="O83" i="7" s="1"/>
  <c r="N82" i="7"/>
  <c r="O82" i="7" s="1"/>
  <c r="N81" i="7"/>
  <c r="O81" i="7" s="1"/>
  <c r="N80" i="7"/>
  <c r="O80" i="7" s="1"/>
  <c r="N79" i="7"/>
  <c r="O79" i="7" s="1"/>
  <c r="N78" i="7"/>
  <c r="O78" i="7" s="1"/>
  <c r="N77" i="7"/>
  <c r="O77" i="7" s="1"/>
  <c r="N76" i="7"/>
  <c r="O76" i="7" s="1"/>
  <c r="N75" i="7"/>
  <c r="O75" i="7" s="1"/>
  <c r="N74" i="7"/>
  <c r="O74" i="7" s="1"/>
  <c r="N73" i="7"/>
  <c r="O73" i="7" s="1"/>
  <c r="N72" i="7"/>
  <c r="O72" i="7" s="1"/>
  <c r="N71" i="7"/>
  <c r="O71" i="7" s="1"/>
  <c r="N70" i="7"/>
  <c r="O70" i="7" s="1"/>
  <c r="N69" i="7"/>
  <c r="O69" i="7" s="1"/>
  <c r="N68" i="7"/>
  <c r="O68" i="7" s="1"/>
  <c r="N67" i="7"/>
  <c r="O67" i="7" s="1"/>
  <c r="N66" i="7"/>
  <c r="O66" i="7" s="1"/>
  <c r="N65" i="7"/>
  <c r="O65" i="7" s="1"/>
  <c r="N64" i="7"/>
  <c r="O64" i="7" s="1"/>
  <c r="N63" i="7"/>
  <c r="O63" i="7" s="1"/>
  <c r="N62" i="7"/>
  <c r="O62" i="7" s="1"/>
  <c r="N61" i="7"/>
  <c r="O61" i="7" s="1"/>
  <c r="N60" i="7"/>
  <c r="O60" i="7" s="1"/>
  <c r="N59" i="7"/>
  <c r="O59" i="7" s="1"/>
  <c r="N58" i="7"/>
  <c r="O58" i="7" s="1"/>
  <c r="N57" i="7"/>
  <c r="O57" i="7" s="1"/>
  <c r="N56" i="7"/>
  <c r="O56" i="7" s="1"/>
  <c r="N55" i="7"/>
  <c r="O55" i="7" s="1"/>
  <c r="N54" i="7"/>
  <c r="O54" i="7" s="1"/>
  <c r="N53" i="7"/>
  <c r="O53" i="7" s="1"/>
  <c r="N52" i="7"/>
  <c r="O52" i="7" s="1"/>
  <c r="N51" i="7"/>
  <c r="O51" i="7" s="1"/>
  <c r="N50" i="7"/>
  <c r="O50" i="7" s="1"/>
  <c r="N49" i="7"/>
  <c r="O49" i="7" s="1"/>
  <c r="N48" i="7"/>
  <c r="O48" i="7" s="1"/>
  <c r="N47" i="7"/>
  <c r="O47" i="7" s="1"/>
  <c r="N46" i="7"/>
  <c r="O46" i="7" s="1"/>
  <c r="N45" i="7"/>
  <c r="O45" i="7" s="1"/>
  <c r="N44" i="7"/>
  <c r="O44" i="7" s="1"/>
  <c r="N43" i="7"/>
  <c r="O43" i="7" s="1"/>
  <c r="N42" i="7"/>
  <c r="O42" i="7" s="1"/>
  <c r="N41" i="7"/>
  <c r="O41" i="7" s="1"/>
  <c r="N40" i="7"/>
  <c r="O40" i="7" s="1"/>
  <c r="N39" i="7"/>
  <c r="O39" i="7" s="1"/>
  <c r="N38" i="7"/>
  <c r="O38" i="7" s="1"/>
  <c r="N37" i="7"/>
  <c r="O37" i="7" s="1"/>
  <c r="N36" i="7"/>
  <c r="O36" i="7" s="1"/>
  <c r="N35" i="7"/>
  <c r="O35" i="7" s="1"/>
  <c r="N34" i="7"/>
  <c r="O34" i="7" s="1"/>
  <c r="N33" i="7"/>
  <c r="O33" i="7" s="1"/>
  <c r="N32" i="7"/>
  <c r="O32" i="7" s="1"/>
  <c r="N31" i="7"/>
  <c r="O31" i="7" s="1"/>
  <c r="N30" i="7"/>
  <c r="O30" i="7" s="1"/>
  <c r="N29" i="7"/>
  <c r="O29" i="7" s="1"/>
  <c r="N28" i="7"/>
  <c r="O28" i="7" s="1"/>
  <c r="N27" i="7"/>
  <c r="O27" i="7" s="1"/>
  <c r="N26" i="7"/>
  <c r="O26" i="7" s="1"/>
  <c r="N25" i="7"/>
  <c r="O25" i="7" s="1"/>
  <c r="N24" i="7"/>
  <c r="O24" i="7" s="1"/>
  <c r="N23" i="7"/>
  <c r="O23" i="7" s="1"/>
  <c r="N22" i="7"/>
  <c r="O22" i="7" s="1"/>
  <c r="N21" i="7"/>
  <c r="O21" i="7" s="1"/>
  <c r="N20" i="7"/>
  <c r="O20" i="7" s="1"/>
  <c r="N19" i="7"/>
  <c r="O19" i="7" s="1"/>
  <c r="N18" i="7"/>
  <c r="O18" i="7" s="1"/>
  <c r="N17" i="7"/>
  <c r="O17" i="7" s="1"/>
  <c r="N16" i="7"/>
  <c r="O16" i="7" s="1"/>
  <c r="N15" i="7"/>
  <c r="O15" i="7" s="1"/>
  <c r="N14" i="7"/>
  <c r="O14" i="7" s="1"/>
  <c r="N13" i="7"/>
  <c r="O13" i="7" s="1"/>
  <c r="N12" i="7"/>
  <c r="O12" i="7" s="1"/>
  <c r="N11" i="7"/>
  <c r="O11" i="7" s="1"/>
  <c r="N10" i="7"/>
  <c r="O10" i="7" s="1"/>
  <c r="N9" i="7"/>
  <c r="O9" i="7" s="1"/>
  <c r="N8" i="7"/>
  <c r="O8" i="7" s="1"/>
  <c r="N7" i="7"/>
  <c r="O7" i="7" s="1"/>
  <c r="N6" i="7"/>
  <c r="O6" i="7" s="1"/>
  <c r="N5" i="7"/>
  <c r="O5" i="7" s="1"/>
  <c r="N4" i="7"/>
  <c r="J190" i="7"/>
  <c r="N190" i="7" s="1"/>
  <c r="O190" i="7" s="1"/>
  <c r="B226" i="7"/>
  <c r="B225" i="7"/>
  <c r="N3" i="7"/>
  <c r="B224" i="7"/>
  <c r="L4" i="7"/>
  <c r="L5" i="7" s="1"/>
  <c r="L6" i="7" s="1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49" i="7" s="1"/>
  <c r="L50" i="7" s="1"/>
  <c r="L51" i="7" s="1"/>
  <c r="L52" i="7" s="1"/>
  <c r="L53" i="7" s="1"/>
  <c r="L54" i="7" s="1"/>
  <c r="L55" i="7" s="1"/>
  <c r="L56" i="7" s="1"/>
  <c r="L57" i="7" s="1"/>
  <c r="L58" i="7" s="1"/>
  <c r="L59" i="7" s="1"/>
  <c r="L60" i="7" s="1"/>
  <c r="L61" i="7" s="1"/>
  <c r="L62" i="7" s="1"/>
  <c r="L63" i="7" s="1"/>
  <c r="L64" i="7" s="1"/>
  <c r="L65" i="7" s="1"/>
  <c r="L66" i="7" s="1"/>
  <c r="L67" i="7" s="1"/>
  <c r="L68" i="7" s="1"/>
  <c r="L69" i="7" s="1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80" i="7" s="1"/>
  <c r="L81" i="7" s="1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92" i="7" s="1"/>
  <c r="L93" i="7" s="1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17" i="7" s="1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28" i="7" s="1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140" i="7" s="1"/>
  <c r="L141" i="7" s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L152" i="7" s="1"/>
  <c r="L153" i="7" s="1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64" i="7" s="1"/>
  <c r="L165" i="7" s="1"/>
  <c r="L166" i="7" s="1"/>
  <c r="L167" i="7" s="1"/>
  <c r="L168" i="7" s="1"/>
  <c r="L169" i="7" s="1"/>
  <c r="L170" i="7" s="1"/>
  <c r="M159" i="7"/>
  <c r="M160" i="7"/>
  <c r="M161" i="7"/>
  <c r="M162" i="7"/>
  <c r="M163" i="7"/>
  <c r="M164" i="7"/>
  <c r="M165" i="7"/>
  <c r="M166" i="7"/>
  <c r="M167" i="7"/>
  <c r="M168" i="7"/>
  <c r="M169" i="7"/>
  <c r="M170" i="7"/>
  <c r="B223" i="7"/>
  <c r="B221" i="7"/>
  <c r="B222" i="7"/>
  <c r="M154" i="7"/>
  <c r="M155" i="7"/>
  <c r="M156" i="7"/>
  <c r="M157" i="7"/>
  <c r="M158" i="7"/>
  <c r="M147" i="7"/>
  <c r="M148" i="7"/>
  <c r="M149" i="7"/>
  <c r="M150" i="7"/>
  <c r="M151" i="7"/>
  <c r="M152" i="7"/>
  <c r="M153" i="7"/>
  <c r="B212" i="7"/>
  <c r="B213" i="7"/>
  <c r="B214" i="7"/>
  <c r="B215" i="7"/>
  <c r="B216" i="7"/>
  <c r="B217" i="7"/>
  <c r="B218" i="7"/>
  <c r="B219" i="7"/>
  <c r="B220" i="7"/>
  <c r="J202" i="7"/>
  <c r="B231" i="7" l="1"/>
  <c r="O3" i="7"/>
  <c r="J196" i="7"/>
  <c r="J184" i="7"/>
  <c r="N184" i="7" s="1"/>
  <c r="O184" i="7" s="1"/>
  <c r="J200" i="7"/>
  <c r="J188" i="7"/>
  <c r="N188" i="7" s="1"/>
  <c r="O188" i="7" s="1"/>
  <c r="J192" i="7"/>
  <c r="N192" i="7" s="1"/>
  <c r="O192" i="7" s="1"/>
  <c r="J197" i="7"/>
  <c r="J185" i="7"/>
  <c r="N185" i="7" s="1"/>
  <c r="O185" i="7" s="1"/>
  <c r="J201" i="7"/>
  <c r="J189" i="7"/>
  <c r="N189" i="7" s="1"/>
  <c r="O189" i="7" s="1"/>
  <c r="J205" i="7"/>
  <c r="J193" i="7"/>
  <c r="N193" i="7" s="1"/>
  <c r="O193" i="7" s="1"/>
  <c r="J198" i="7"/>
  <c r="J186" i="7"/>
  <c r="N186" i="7" s="1"/>
  <c r="O186" i="7" s="1"/>
  <c r="J206" i="7"/>
  <c r="J194" i="7"/>
  <c r="N194" i="7" s="1"/>
  <c r="O194" i="7" s="1"/>
  <c r="J187" i="7"/>
  <c r="N187" i="7" s="1"/>
  <c r="O187" i="7" s="1"/>
  <c r="J203" i="7"/>
  <c r="J191" i="7"/>
  <c r="N191" i="7" s="1"/>
  <c r="O191" i="7" s="1"/>
  <c r="J199" i="7"/>
  <c r="J195" i="7"/>
  <c r="J223" i="7"/>
  <c r="J222" i="7"/>
  <c r="N222" i="7" s="1"/>
  <c r="O222" i="7" s="1"/>
  <c r="J224" i="7"/>
  <c r="J225" i="7"/>
  <c r="J220" i="7"/>
  <c r="J226" i="7"/>
  <c r="J214" i="7"/>
  <c r="J218" i="7"/>
  <c r="J221" i="7"/>
  <c r="J219" i="7"/>
  <c r="J215" i="7"/>
  <c r="J217" i="7"/>
  <c r="J213" i="7"/>
  <c r="J212" i="7"/>
  <c r="O4" i="7"/>
  <c r="J216" i="7"/>
  <c r="O195" i="7" l="1"/>
  <c r="Q33" i="7" s="1"/>
  <c r="N195" i="7"/>
  <c r="J204" i="7"/>
  <c r="J228" i="7" s="1"/>
  <c r="N223" i="7"/>
  <c r="O223" i="7" s="1"/>
  <c r="N224" i="7"/>
  <c r="O224" i="7" s="1"/>
  <c r="N226" i="7"/>
  <c r="O226" i="7" s="1"/>
  <c r="J227" i="7"/>
  <c r="N227" i="7" s="1"/>
  <c r="O227" i="7" s="1"/>
  <c r="N220" i="7"/>
  <c r="O220" i="7" s="1"/>
  <c r="N225" i="7"/>
  <c r="O225" i="7" s="1"/>
  <c r="N219" i="7"/>
  <c r="O219" i="7" s="1"/>
  <c r="N218" i="7"/>
  <c r="O218" i="7" s="1"/>
  <c r="N221" i="7"/>
  <c r="O221" i="7" s="1"/>
  <c r="N214" i="7"/>
  <c r="O214" i="7" s="1"/>
  <c r="N216" i="7"/>
  <c r="O216" i="7" s="1"/>
  <c r="N217" i="7"/>
  <c r="O217" i="7" s="1"/>
  <c r="N212" i="7"/>
  <c r="O212" i="7" s="1"/>
  <c r="N213" i="7"/>
  <c r="O213" i="7" s="1"/>
  <c r="N215" i="7"/>
  <c r="O215" i="7" s="1"/>
  <c r="J231" i="7" l="1"/>
  <c r="N231" i="7" s="1"/>
  <c r="N228" i="7"/>
  <c r="J208" i="7"/>
  <c r="J233" i="7"/>
  <c r="N233" i="7" l="1"/>
</calcChain>
</file>

<file path=xl/sharedStrings.xml><?xml version="1.0" encoding="utf-8"?>
<sst xmlns="http://schemas.openxmlformats.org/spreadsheetml/2006/main" count="58" uniqueCount="49">
  <si>
    <t>Purchased</t>
  </si>
  <si>
    <t>Heating Degree Days</t>
  </si>
  <si>
    <t>Cooling Degree Days</t>
  </si>
  <si>
    <t>Number of Days in Month</t>
  </si>
  <si>
    <t>Number of Peak Hours</t>
  </si>
  <si>
    <t>Ontario Real GDP Monthly %</t>
  </si>
  <si>
    <t>Total</t>
  </si>
  <si>
    <t xml:space="preserve">Predicted Purchases </t>
  </si>
  <si>
    <t>Variances (kWh)</t>
  </si>
  <si>
    <t>Spring Fall Flag</t>
  </si>
  <si>
    <t>Population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</si>
  <si>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</si>
  <si>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</si>
  <si>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</si>
  <si>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</si>
  <si>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</si>
  <si>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</si>
  <si>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</si>
  <si>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</si>
  <si>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</si>
  <si>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</si>
  <si>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</si>
  <si>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</si>
  <si>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</si>
  <si>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</si>
  <si>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</si>
  <si>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</si>
  <si>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</si>
  <si>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</si>
  <si>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</si>
  <si>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</si>
  <si>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Check totals above should be zero</t>
  </si>
  <si>
    <t>Value</t>
  </si>
  <si>
    <t>F Test</t>
  </si>
  <si>
    <t>T-stats by Coefficient</t>
  </si>
  <si>
    <t>Intercept</t>
  </si>
  <si>
    <t>Total to 2015</t>
  </si>
  <si>
    <t>2014/2015 Forecast Summary:</t>
  </si>
  <si>
    <t>North Bay  Economy</t>
  </si>
  <si>
    <t>% Variance - Absolute</t>
  </si>
  <si>
    <t>MAPE</t>
  </si>
  <si>
    <t xml:space="preserve">MAPE (Monthly) </t>
  </si>
  <si>
    <t>Constant</t>
  </si>
  <si>
    <t xml:space="preserve">Northeastern Employment </t>
  </si>
  <si>
    <t>Lower 95.0%</t>
  </si>
  <si>
    <t>Upper 95.0%</t>
  </si>
  <si>
    <t>Northeastern Unemployment Rate</t>
  </si>
  <si>
    <t>Regression Analysis Results</t>
  </si>
  <si>
    <t>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</si>
</sst>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;\(#,##0\)"/>
    <numFmt numFmtId="167" formatCode="_(* #,##0.0_);_(* \(#,##0.0\);_(* &quot;-&quot;??_);_(@_)"/>
    <numFmt numFmtId="168" formatCode="_(* #,##0_);_(* \(#,##0\);_(* &quot;-&quot;??_);_(@_)"/>
    <numFmt numFmtId="169" formatCode="#,##0.0"/>
    <numFmt numFmtId="170" formatCode="#,##0.0;\(#,##0.0\)"/>
    <numFmt numFmtId="171" formatCode="&quot;£ &quot;#,##0.00;[Red]\-&quot;£ &quot;#,##0.00"/>
    <numFmt numFmtId="172" formatCode="##\-#"/>
    <numFmt numFmtId="173" formatCode="mm/dd/yyyy"/>
    <numFmt numFmtId="174" formatCode="0\-0"/>
    <numFmt numFmtId="175" formatCode="#,##0.0;\-#,##0.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/>
    <xf numFmtId="167" fontId="2" fillId="0" borderId="0"/>
    <xf numFmtId="169" fontId="2" fillId="0" borderId="0"/>
    <xf numFmtId="173" fontId="2" fillId="0" borderId="0"/>
    <xf numFmtId="174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14" fillId="4" borderId="0" applyNumberFormat="0" applyBorder="0" applyAlignment="0" applyProtection="0"/>
    <xf numFmtId="38" fontId="30" fillId="22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10" fontId="30" fillId="23" borderId="6" applyNumberFormat="0" applyBorder="0" applyAlignment="0" applyProtection="0"/>
    <xf numFmtId="0" fontId="19" fillId="0" borderId="7" applyNumberFormat="0" applyFill="0" applyAlignment="0" applyProtection="0"/>
    <xf numFmtId="172" fontId="2" fillId="0" borderId="0"/>
    <xf numFmtId="168" fontId="2" fillId="0" borderId="0"/>
    <xf numFmtId="0" fontId="20" fillId="24" borderId="0" applyNumberFormat="0" applyBorder="0" applyAlignment="0" applyProtection="0"/>
    <xf numFmtId="171" fontId="2" fillId="0" borderId="0"/>
    <xf numFmtId="0" fontId="2" fillId="0" borderId="0"/>
    <xf numFmtId="0" fontId="21" fillId="0" borderId="0"/>
    <xf numFmtId="0" fontId="2" fillId="25" borderId="8" applyNumberFormat="0" applyFont="0" applyAlignment="0" applyProtection="0"/>
    <xf numFmtId="0" fontId="22" fillId="20" borderId="9" applyNumberFormat="0" applyAlignment="0" applyProtection="0"/>
    <xf numFmtId="10" fontId="2" fillId="0" borderId="0" applyFont="0" applyFill="0" applyBorder="0" applyAlignment="0" applyProtection="0"/>
    <xf numFmtId="0" fontId="23" fillId="0" borderId="0" applyNumberFormat="0" applyBorder="0" applyAlignment="0"/>
    <xf numFmtId="0" fontId="34" fillId="0" borderId="0" applyNumberFormat="0" applyBorder="0" applyAlignment="0"/>
    <xf numFmtId="0" fontId="35" fillId="0" borderId="0" applyNumberFormat="0" applyBorder="0" applyAlignment="0"/>
    <xf numFmtId="0" fontId="24" fillId="0" borderId="10">
      <alignment horizontal="center" vertical="center"/>
    </xf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7" fillId="0" borderId="16" applyNumberFormat="0" applyFill="0" applyAlignment="0" applyProtection="0"/>
    <xf numFmtId="0" fontId="1" fillId="0" borderId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2" fillId="29" borderId="0" applyNumberFormat="0" applyBorder="0" applyAlignment="0" applyProtection="0"/>
    <xf numFmtId="0" fontId="43" fillId="30" borderId="19" applyNumberFormat="0" applyAlignment="0" applyProtection="0"/>
    <xf numFmtId="0" fontId="44" fillId="31" borderId="20" applyNumberFormat="0" applyAlignment="0" applyProtection="0"/>
    <xf numFmtId="0" fontId="45" fillId="31" borderId="19" applyNumberFormat="0" applyAlignment="0" applyProtection="0"/>
    <xf numFmtId="0" fontId="46" fillId="0" borderId="21" applyNumberFormat="0" applyFill="0" applyAlignment="0" applyProtection="0"/>
    <xf numFmtId="0" fontId="47" fillId="32" borderId="22" applyNumberFormat="0" applyAlignment="0" applyProtection="0"/>
    <xf numFmtId="0" fontId="48" fillId="0" borderId="0" applyNumberFormat="0" applyFill="0" applyBorder="0" applyAlignment="0" applyProtection="0"/>
    <xf numFmtId="0" fontId="1" fillId="33" borderId="2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4" applyNumberFormat="0" applyFill="0" applyAlignment="0" applyProtection="0"/>
    <xf numFmtId="0" fontId="5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1" fillId="5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73" fontId="2" fillId="0" borderId="0"/>
    <xf numFmtId="38" fontId="28" fillId="22" borderId="0" applyNumberFormat="0" applyBorder="0" applyAlignment="0" applyProtection="0"/>
    <xf numFmtId="10" fontId="28" fillId="23" borderId="6" applyNumberFormat="0" applyBorder="0" applyAlignment="0" applyProtection="0"/>
    <xf numFmtId="172" fontId="2" fillId="0" borderId="0"/>
    <xf numFmtId="172" fontId="2" fillId="0" borderId="0"/>
    <xf numFmtId="172" fontId="2" fillId="0" borderId="0"/>
    <xf numFmtId="172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9">
    <xf numFmtId="0" fontId="0" fillId="0" borderId="0" xfId="0"/>
    <xf numFmtId="37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12" xfId="0" applyFill="1" applyBorder="1" applyAlignment="1"/>
    <xf numFmtId="0" fontId="6" fillId="0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Continuous"/>
    </xf>
    <xf numFmtId="4" fontId="0" fillId="0" borderId="0" xfId="0" applyNumberForma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164" fontId="28" fillId="0" borderId="6" xfId="51" applyNumberFormat="1" applyFont="1" applyFill="1" applyBorder="1" applyAlignment="1">
      <alignment horizontal="center" vertical="center"/>
    </xf>
    <xf numFmtId="165" fontId="28" fillId="0" borderId="6" xfId="51" applyNumberFormat="1" applyFont="1" applyFill="1" applyBorder="1" applyAlignment="1">
      <alignment horizontal="center" vertical="center"/>
    </xf>
    <xf numFmtId="1" fontId="28" fillId="0" borderId="14" xfId="0" applyNumberFormat="1" applyFont="1" applyFill="1" applyBorder="1" applyAlignment="1">
      <alignment horizontal="left" vertical="center" indent="1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168" fontId="0" fillId="0" borderId="0" xfId="32" applyNumberFormat="1" applyFont="1" applyFill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37" fontId="0" fillId="0" borderId="0" xfId="0" applyNumberFormat="1" applyFill="1"/>
    <xf numFmtId="0" fontId="0" fillId="0" borderId="0" xfId="0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6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31" fillId="0" borderId="0" xfId="0" applyFont="1" applyFill="1" applyAlignment="1">
      <alignment horizontal="center" wrapText="1"/>
    </xf>
    <xf numFmtId="37" fontId="32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17" fontId="7" fillId="0" borderId="0" xfId="0" applyNumberFormat="1" applyFont="1" applyFill="1" applyBorder="1"/>
    <xf numFmtId="3" fontId="5" fillId="26" borderId="15" xfId="0" applyNumberFormat="1" applyFont="1" applyFill="1" applyBorder="1" applyAlignment="1">
      <alignment horizontal="center"/>
    </xf>
    <xf numFmtId="37" fontId="5" fillId="26" borderId="15" xfId="0" applyNumberFormat="1" applyFont="1" applyFill="1" applyBorder="1" applyAlignment="1">
      <alignment horizontal="center"/>
    </xf>
    <xf numFmtId="17" fontId="3" fillId="0" borderId="0" xfId="0" applyNumberFormat="1" applyFont="1" applyFill="1" applyBorder="1"/>
    <xf numFmtId="17" fontId="33" fillId="0" borderId="0" xfId="0" applyNumberFormat="1" applyFont="1" applyFill="1" applyBorder="1"/>
    <xf numFmtId="3" fontId="0" fillId="0" borderId="0" xfId="0" applyNumberFormat="1" applyFill="1"/>
    <xf numFmtId="3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left"/>
    </xf>
    <xf numFmtId="168" fontId="3" fillId="0" borderId="0" xfId="32" applyNumberFormat="1" applyFont="1" applyFill="1"/>
    <xf numFmtId="168" fontId="2" fillId="0" borderId="0" xfId="32" applyNumberFormat="1" applyFont="1" applyFill="1"/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7" fontId="0" fillId="0" borderId="0" xfId="0" applyNumberFormat="1" applyFill="1" applyBorder="1"/>
    <xf numFmtId="37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9" fillId="58" borderId="6" xfId="52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/>
    </xf>
    <xf numFmtId="0" fontId="29" fillId="58" borderId="14" xfId="52" applyFont="1" applyFill="1" applyBorder="1" applyAlignment="1">
      <alignment horizontal="left" vertical="center"/>
    </xf>
    <xf numFmtId="175" fontId="3" fillId="0" borderId="0" xfId="0" applyNumberFormat="1" applyFont="1" applyFill="1" applyBorder="1" applyAlignment="1">
      <alignment horizontal="center"/>
    </xf>
    <xf numFmtId="166" fontId="28" fillId="0" borderId="6" xfId="51" applyNumberFormat="1" applyFont="1" applyFill="1" applyBorder="1" applyAlignment="1">
      <alignment horizontal="center" vertical="center"/>
    </xf>
    <xf numFmtId="170" fontId="28" fillId="0" borderId="6" xfId="51" applyNumberFormat="1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</cellXfs>
  <cellStyles count="134">
    <cellStyle name="$" xfId="1"/>
    <cellStyle name="$.00" xfId="2"/>
    <cellStyle name="$_9. Rev2Cost_GDPIPI" xfId="119"/>
    <cellStyle name="$_lists" xfId="120"/>
    <cellStyle name="$_lists_4. Current Monthly Fixed Charge" xfId="121"/>
    <cellStyle name="$_Sheet4" xfId="122"/>
    <cellStyle name="$M" xfId="3"/>
    <cellStyle name="$M.00" xfId="4"/>
    <cellStyle name="$M_9. Rev2Cost_GDPIPI" xfId="123"/>
    <cellStyle name="20% - Accent1" xfId="5" builtinId="30" customBuiltin="1"/>
    <cellStyle name="20% - Accent1 2" xfId="86"/>
    <cellStyle name="20% - Accent2" xfId="6" builtinId="34" customBuiltin="1"/>
    <cellStyle name="20% - Accent2 2" xfId="90"/>
    <cellStyle name="20% - Accent3" xfId="7" builtinId="38" customBuiltin="1"/>
    <cellStyle name="20% - Accent3 2" xfId="94"/>
    <cellStyle name="20% - Accent4" xfId="8" builtinId="42" customBuiltin="1"/>
    <cellStyle name="20% - Accent4 2" xfId="98"/>
    <cellStyle name="20% - Accent5" xfId="9" builtinId="46" customBuiltin="1"/>
    <cellStyle name="20% - Accent5 2" xfId="102"/>
    <cellStyle name="20% - Accent6" xfId="10" builtinId="50" customBuiltin="1"/>
    <cellStyle name="20% - Accent6 2" xfId="106"/>
    <cellStyle name="40% - Accent1" xfId="11" builtinId="31" customBuiltin="1"/>
    <cellStyle name="40% - Accent1 2" xfId="87"/>
    <cellStyle name="40% - Accent2" xfId="12" builtinId="35" customBuiltin="1"/>
    <cellStyle name="40% - Accent2 2" xfId="91"/>
    <cellStyle name="40% - Accent3" xfId="13" builtinId="39" customBuiltin="1"/>
    <cellStyle name="40% - Accent3 2" xfId="95"/>
    <cellStyle name="40% - Accent4" xfId="14" builtinId="43" customBuiltin="1"/>
    <cellStyle name="40% - Accent4 2" xfId="99"/>
    <cellStyle name="40% - Accent5" xfId="15" builtinId="47" customBuiltin="1"/>
    <cellStyle name="40% - Accent5 2" xfId="103"/>
    <cellStyle name="40% - Accent6" xfId="16" builtinId="51" customBuiltin="1"/>
    <cellStyle name="40% - Accent6 2" xfId="107"/>
    <cellStyle name="60% - Accent1" xfId="17" builtinId="32" customBuiltin="1"/>
    <cellStyle name="60% - Accent1 2" xfId="88"/>
    <cellStyle name="60% - Accent2" xfId="18" builtinId="36" customBuiltin="1"/>
    <cellStyle name="60% - Accent2 2" xfId="92"/>
    <cellStyle name="60% - Accent3" xfId="19" builtinId="40" customBuiltin="1"/>
    <cellStyle name="60% - Accent3 2" xfId="96"/>
    <cellStyle name="60% - Accent4" xfId="20" builtinId="44" customBuiltin="1"/>
    <cellStyle name="60% - Accent4 2" xfId="100"/>
    <cellStyle name="60% - Accent5" xfId="21" builtinId="48" customBuiltin="1"/>
    <cellStyle name="60% - Accent5 2" xfId="104"/>
    <cellStyle name="60% - Accent6" xfId="22" builtinId="52" customBuiltin="1"/>
    <cellStyle name="60% - Accent6 2" xfId="108"/>
    <cellStyle name="Accent1" xfId="23" builtinId="29" customBuiltin="1"/>
    <cellStyle name="Accent1 2" xfId="85"/>
    <cellStyle name="Accent2" xfId="24" builtinId="33" customBuiltin="1"/>
    <cellStyle name="Accent2 2" xfId="89"/>
    <cellStyle name="Accent3" xfId="25" builtinId="37" customBuiltin="1"/>
    <cellStyle name="Accent3 2" xfId="93"/>
    <cellStyle name="Accent4" xfId="26" builtinId="41" customBuiltin="1"/>
    <cellStyle name="Accent4 2" xfId="97"/>
    <cellStyle name="Accent5" xfId="27" builtinId="45" customBuiltin="1"/>
    <cellStyle name="Accent5 2" xfId="101"/>
    <cellStyle name="Accent6" xfId="28" builtinId="49" customBuiltin="1"/>
    <cellStyle name="Accent6 2" xfId="105"/>
    <cellStyle name="Bad" xfId="29" builtinId="27" customBuiltin="1"/>
    <cellStyle name="Bad 2" xfId="74"/>
    <cellStyle name="Calculation" xfId="30" builtinId="22" customBuiltin="1"/>
    <cellStyle name="Calculation 2" xfId="78"/>
    <cellStyle name="Check Cell" xfId="31" builtinId="23" customBuiltin="1"/>
    <cellStyle name="Check Cell 2" xfId="80"/>
    <cellStyle name="Comma" xfId="32" builtinId="3"/>
    <cellStyle name="Comma 2" xfId="110"/>
    <cellStyle name="Comma 3" xfId="113"/>
    <cellStyle name="Comma 3 2" xfId="131"/>
    <cellStyle name="Comma 4" xfId="118"/>
    <cellStyle name="Comma 5" xfId="65"/>
    <cellStyle name="Comma0" xfId="33"/>
    <cellStyle name="Currency 2" xfId="117"/>
    <cellStyle name="Currency 3" xfId="133"/>
    <cellStyle name="Currency 4" xfId="66"/>
    <cellStyle name="Currency0" xfId="34"/>
    <cellStyle name="Date" xfId="35"/>
    <cellStyle name="Explanatory Text" xfId="36" builtinId="53" customBuiltin="1"/>
    <cellStyle name="Explanatory Text 2" xfId="83"/>
    <cellStyle name="Fixed" xfId="37"/>
    <cellStyle name="Good" xfId="38" builtinId="26" customBuiltin="1"/>
    <cellStyle name="Good 2" xfId="73"/>
    <cellStyle name="Grey" xfId="39"/>
    <cellStyle name="Grey 2" xfId="124"/>
    <cellStyle name="Heading 1" xfId="40" builtinId="16" customBuiltin="1"/>
    <cellStyle name="Heading 1 2" xfId="69"/>
    <cellStyle name="Heading 2" xfId="41" builtinId="17" customBuiltin="1"/>
    <cellStyle name="Heading 2 2" xfId="68"/>
    <cellStyle name="Heading 3" xfId="42" builtinId="18" customBuiltin="1"/>
    <cellStyle name="Heading 3 2" xfId="71"/>
    <cellStyle name="Heading 4" xfId="43" builtinId="19" customBuiltin="1"/>
    <cellStyle name="Heading 4 2" xfId="72"/>
    <cellStyle name="Input" xfId="44" builtinId="20" customBuiltin="1"/>
    <cellStyle name="Input [yellow]" xfId="45"/>
    <cellStyle name="Input [yellow] 2" xfId="125"/>
    <cellStyle name="Input 2" xfId="76"/>
    <cellStyle name="Linked Cell" xfId="46" builtinId="24" customBuiltin="1"/>
    <cellStyle name="Linked Cell 2" xfId="79"/>
    <cellStyle name="M" xfId="47"/>
    <cellStyle name="M.00" xfId="48"/>
    <cellStyle name="M_9. Rev2Cost_GDPIPI" xfId="126"/>
    <cellStyle name="M_lists" xfId="127"/>
    <cellStyle name="M_lists_4. Current Monthly Fixed Charge" xfId="128"/>
    <cellStyle name="M_Sheet4" xfId="129"/>
    <cellStyle name="Neutral" xfId="49" builtinId="28" customBuiltin="1"/>
    <cellStyle name="Neutral 2" xfId="75"/>
    <cellStyle name="Normal" xfId="0" builtinId="0"/>
    <cellStyle name="Normal - Style1" xfId="50"/>
    <cellStyle name="Normal 2" xfId="63"/>
    <cellStyle name="Normal 3" xfId="70"/>
    <cellStyle name="Normal 4" xfId="109"/>
    <cellStyle name="Normal 5" xfId="112"/>
    <cellStyle name="Normal 5 2" xfId="130"/>
    <cellStyle name="Normal 6" xfId="115"/>
    <cellStyle name="Normal 7" xfId="64"/>
    <cellStyle name="Normal_OEB Trial Balance - Regulatory-July24-07" xfId="51"/>
    <cellStyle name="Normal_Sheet2" xfId="52"/>
    <cellStyle name="Note" xfId="53" builtinId="10" customBuiltin="1"/>
    <cellStyle name="Note 2" xfId="82"/>
    <cellStyle name="Output" xfId="54" builtinId="21" customBuiltin="1"/>
    <cellStyle name="Output 2" xfId="77"/>
    <cellStyle name="Percent [2]" xfId="55"/>
    <cellStyle name="Percent 2" xfId="111"/>
    <cellStyle name="Percent 3" xfId="114"/>
    <cellStyle name="Percent 3 2" xfId="132"/>
    <cellStyle name="Percent 4" xfId="116"/>
    <cellStyle name="STYLE1" xfId="56"/>
    <cellStyle name="STYLE2" xfId="57"/>
    <cellStyle name="STYLE4" xfId="58"/>
    <cellStyle name="Subtotal" xfId="59"/>
    <cellStyle name="Title" xfId="60" builtinId="15" customBuiltin="1"/>
    <cellStyle name="Title 2" xfId="67"/>
    <cellStyle name="Total" xfId="61" builtinId="25" customBuiltin="1"/>
    <cellStyle name="Total 2" xfId="84"/>
    <cellStyle name="Warning Text" xfId="62" builtinId="11" customBuiltin="1"/>
    <cellStyle name="Warning Text 2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wanner\Local%20Settings\Temporary%20Internet%20Files\OLKC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35"/>
  <sheetViews>
    <sheetView tabSelected="1" zoomScaleNormal="100" workbookViewId="0">
      <pane xSplit="1" ySplit="2" topLeftCell="B3" activePane="bottomRight" state="frozen"/>
      <selection activeCell="AB30" sqref="AB30"/>
      <selection pane="topRight" activeCell="AB30" sqref="AB30"/>
      <selection pane="bottomLeft" activeCell="AB30" sqref="AB30"/>
      <selection pane="bottomRight" activeCell="B3" sqref="B3"/>
    </sheetView>
  </sheetViews>
  <sheetFormatPr defaultRowHeight="12.75" outlineLevelCol="1" x14ac:dyDescent="0.2"/>
  <cols>
    <col min="1" max="1" width="15" style="24" customWidth="1"/>
    <col min="2" max="2" width="18" style="25" customWidth="1"/>
    <col min="3" max="3" width="11.7109375" style="29" customWidth="1"/>
    <col min="4" max="4" width="13.42578125" style="29" customWidth="1"/>
    <col min="5" max="5" width="10.140625" style="29" customWidth="1"/>
    <col min="6" max="6" width="12.42578125" style="29" customWidth="1"/>
    <col min="7" max="7" width="10.5703125" style="29" customWidth="1"/>
    <col min="8" max="8" width="14.5703125" style="29" customWidth="1"/>
    <col min="9" max="9" width="14.42578125" style="29" customWidth="1"/>
    <col min="10" max="10" width="15.42578125" style="29" bestFit="1" customWidth="1"/>
    <col min="11" max="11" width="14.42578125" style="6" customWidth="1" outlineLevel="1"/>
    <col min="12" max="12" width="12.42578125" style="2" customWidth="1" outlineLevel="1"/>
    <col min="13" max="13" width="13" style="39" customWidth="1" outlineLevel="1"/>
    <col min="14" max="14" width="17" style="2" customWidth="1"/>
    <col min="15" max="15" width="12.42578125" style="2" customWidth="1"/>
    <col min="16" max="16" width="27.42578125" style="4" customWidth="1"/>
    <col min="17" max="17" width="18" style="4" customWidth="1"/>
    <col min="18" max="18" width="20" style="4" customWidth="1"/>
    <col min="19" max="19" width="18" style="4" customWidth="1"/>
    <col min="20" max="20" width="17.140625" style="4" customWidth="1"/>
    <col min="21" max="22" width="15.7109375" style="4" customWidth="1"/>
    <col min="23" max="23" width="15" customWidth="1"/>
    <col min="24" max="24" width="14.85546875" bestFit="1" customWidth="1"/>
    <col min="25" max="25" width="14.140625" style="4" bestFit="1" customWidth="1"/>
    <col min="26" max="26" width="11.7109375" style="4" bestFit="1" customWidth="1"/>
    <col min="27" max="27" width="11.85546875" style="4" bestFit="1" customWidth="1"/>
    <col min="28" max="28" width="12.5703125" style="3" customWidth="1"/>
    <col min="29" max="29" width="11.28515625" style="3" customWidth="1"/>
    <col min="30" max="30" width="11.5703125" style="3" customWidth="1"/>
    <col min="31" max="31" width="9.28515625" style="3" customWidth="1"/>
    <col min="32" max="32" width="9.140625" style="3"/>
    <col min="33" max="33" width="11.7109375" style="3" bestFit="1" customWidth="1"/>
    <col min="34" max="34" width="10.7109375" style="3" bestFit="1" customWidth="1"/>
    <col min="35" max="36" width="9.140625" style="3"/>
    <col min="37" max="16384" width="9.140625" style="4"/>
  </cols>
  <sheetData>
    <row r="1" spans="1:30" x14ac:dyDescent="0.2">
      <c r="B1" s="46"/>
      <c r="M1" s="32"/>
    </row>
    <row r="2" spans="1:30" ht="42" customHeight="1" x14ac:dyDescent="0.2">
      <c r="B2" s="50" t="s">
        <v>0</v>
      </c>
      <c r="C2" s="51" t="s">
        <v>1</v>
      </c>
      <c r="D2" s="51" t="s">
        <v>2</v>
      </c>
      <c r="E2" s="51" t="s">
        <v>3</v>
      </c>
      <c r="F2" s="51" t="s">
        <v>9</v>
      </c>
      <c r="G2" s="51" t="s">
        <v>38</v>
      </c>
      <c r="H2" s="51" t="s">
        <v>46</v>
      </c>
      <c r="I2" s="51" t="s">
        <v>43</v>
      </c>
      <c r="J2" s="51" t="s">
        <v>7</v>
      </c>
      <c r="K2" s="19" t="s">
        <v>5</v>
      </c>
      <c r="L2" s="18" t="s">
        <v>10</v>
      </c>
      <c r="M2" s="37" t="s">
        <v>4</v>
      </c>
      <c r="N2" s="18" t="s">
        <v>8</v>
      </c>
      <c r="O2" s="18" t="s">
        <v>39</v>
      </c>
      <c r="AB2" s="20"/>
      <c r="AC2" s="20"/>
      <c r="AD2" s="20"/>
    </row>
    <row r="3" spans="1:30" x14ac:dyDescent="0.2">
      <c r="A3" s="52">
        <v>36161</v>
      </c>
      <c r="B3" s="53">
        <v>63487135.799999997</v>
      </c>
      <c r="C3" s="29">
        <v>943.6</v>
      </c>
      <c r="D3" s="29">
        <v>0</v>
      </c>
      <c r="E3" s="53">
        <v>31</v>
      </c>
      <c r="F3" s="53">
        <v>0</v>
      </c>
      <c r="G3" s="53">
        <v>0</v>
      </c>
      <c r="H3" s="64">
        <v>9.1999999999999993</v>
      </c>
      <c r="I3" s="53">
        <v>248.6</v>
      </c>
      <c r="J3" s="53">
        <f>$Q$19+C3*$Q$20+D3*$Q$21+E3*$Q$22+F3*$Q$23+G3*$Q$24+H3*$Q$25</f>
        <v>62835831.598684691</v>
      </c>
      <c r="K3" s="6">
        <v>105.43350751374578</v>
      </c>
      <c r="L3" s="1">
        <v>53395.398799999995</v>
      </c>
      <c r="M3" s="38">
        <v>319.92</v>
      </c>
      <c r="N3" s="1">
        <f t="shared" ref="N3:N34" si="0">J3-B3</f>
        <v>-651304.20131530613</v>
      </c>
      <c r="O3" s="35">
        <f t="shared" ref="O3:O34" si="1">ABS(N3/B3)</f>
        <v>1.0258837370882089E-2</v>
      </c>
      <c r="P3" t="s">
        <v>11</v>
      </c>
      <c r="Q3"/>
      <c r="R3"/>
      <c r="S3"/>
      <c r="T3"/>
      <c r="U3"/>
      <c r="V3"/>
    </row>
    <row r="4" spans="1:30" ht="13.5" thickBot="1" x14ac:dyDescent="0.25">
      <c r="A4" s="52">
        <v>36192</v>
      </c>
      <c r="B4" s="53">
        <v>52841335.700000003</v>
      </c>
      <c r="C4" s="29">
        <v>690.8</v>
      </c>
      <c r="D4" s="29">
        <v>0</v>
      </c>
      <c r="E4" s="53">
        <v>28</v>
      </c>
      <c r="F4" s="53">
        <v>0</v>
      </c>
      <c r="G4" s="53">
        <v>0</v>
      </c>
      <c r="H4" s="64">
        <v>9.1999999999999993</v>
      </c>
      <c r="I4" s="53">
        <v>248.6</v>
      </c>
      <c r="J4" s="53">
        <f t="shared" ref="J4:J67" si="2">$Q$19+C4*$Q$20+D4*$Q$21+E4*$Q$22+F4*$Q$23+G4*$Q$24+H4*$Q$25</f>
        <v>53085906.465049826</v>
      </c>
      <c r="K4" s="6">
        <v>106.07084452911343</v>
      </c>
      <c r="L4" s="1">
        <f t="shared" ref="L4:L27" si="3">L3-26.0167</f>
        <v>53369.382099999995</v>
      </c>
      <c r="M4" s="38">
        <v>319.87200000000001</v>
      </c>
      <c r="N4" s="1">
        <f t="shared" si="0"/>
        <v>244570.76504982263</v>
      </c>
      <c r="O4" s="35">
        <f t="shared" si="1"/>
        <v>4.6283986165365351E-3</v>
      </c>
      <c r="P4"/>
      <c r="Q4"/>
      <c r="R4"/>
      <c r="S4"/>
      <c r="T4"/>
      <c r="U4"/>
      <c r="V4"/>
    </row>
    <row r="5" spans="1:30" x14ac:dyDescent="0.2">
      <c r="A5" s="52">
        <v>36220</v>
      </c>
      <c r="B5" s="53">
        <v>54688698.5</v>
      </c>
      <c r="C5" s="29">
        <v>672.5</v>
      </c>
      <c r="D5" s="29">
        <v>0</v>
      </c>
      <c r="E5" s="53">
        <v>31</v>
      </c>
      <c r="F5" s="53">
        <v>1</v>
      </c>
      <c r="G5" s="53">
        <v>0</v>
      </c>
      <c r="H5" s="64">
        <v>9.1999999999999993</v>
      </c>
      <c r="I5" s="53">
        <v>248.6</v>
      </c>
      <c r="J5" s="53">
        <f t="shared" si="2"/>
        <v>54282040.007986017</v>
      </c>
      <c r="K5" s="6">
        <v>106.71203419513016</v>
      </c>
      <c r="L5" s="1">
        <f t="shared" si="3"/>
        <v>53343.365399999995</v>
      </c>
      <c r="M5" s="38">
        <v>368.28</v>
      </c>
      <c r="N5" s="1">
        <f t="shared" si="0"/>
        <v>-406658.49201398343</v>
      </c>
      <c r="O5" s="35">
        <f t="shared" si="1"/>
        <v>7.4358780363731536E-3</v>
      </c>
      <c r="P5" s="10" t="s">
        <v>12</v>
      </c>
      <c r="Q5" s="10"/>
      <c r="R5"/>
      <c r="S5"/>
      <c r="T5"/>
      <c r="U5"/>
      <c r="V5"/>
    </row>
    <row r="6" spans="1:30" x14ac:dyDescent="0.2">
      <c r="A6" s="52">
        <v>36251</v>
      </c>
      <c r="B6" s="53">
        <v>44591785</v>
      </c>
      <c r="C6" s="29">
        <v>383.7</v>
      </c>
      <c r="D6" s="29">
        <v>0</v>
      </c>
      <c r="E6" s="53">
        <v>30</v>
      </c>
      <c r="F6" s="53">
        <v>1</v>
      </c>
      <c r="G6" s="53">
        <v>0</v>
      </c>
      <c r="H6" s="64">
        <v>9.1999999999999993</v>
      </c>
      <c r="I6" s="53">
        <v>248.6</v>
      </c>
      <c r="J6" s="53">
        <f t="shared" si="2"/>
        <v>45980475.695541278</v>
      </c>
      <c r="K6" s="6">
        <v>107.35709980075717</v>
      </c>
      <c r="L6" s="1">
        <f t="shared" si="3"/>
        <v>53317.348699999995</v>
      </c>
      <c r="M6" s="38">
        <v>336.24</v>
      </c>
      <c r="N6" s="1">
        <f t="shared" si="0"/>
        <v>1388690.6955412775</v>
      </c>
      <c r="O6" s="35">
        <f t="shared" si="1"/>
        <v>3.1142298868306741E-2</v>
      </c>
      <c r="P6" s="7" t="s">
        <v>13</v>
      </c>
      <c r="Q6" s="7">
        <v>0.98849043953490301</v>
      </c>
      <c r="R6"/>
      <c r="S6"/>
      <c r="T6"/>
      <c r="U6"/>
      <c r="V6"/>
    </row>
    <row r="7" spans="1:30" x14ac:dyDescent="0.2">
      <c r="A7" s="52">
        <v>36281</v>
      </c>
      <c r="B7" s="53">
        <v>43099943</v>
      </c>
      <c r="C7" s="29">
        <v>135.9</v>
      </c>
      <c r="D7" s="29">
        <v>16.100000000000001</v>
      </c>
      <c r="E7" s="53">
        <v>31</v>
      </c>
      <c r="F7" s="53">
        <v>1</v>
      </c>
      <c r="G7" s="53">
        <v>0</v>
      </c>
      <c r="H7" s="64">
        <v>9.1999999999999993</v>
      </c>
      <c r="I7" s="53">
        <v>248.6</v>
      </c>
      <c r="J7" s="53">
        <f t="shared" si="2"/>
        <v>42353987.009684779</v>
      </c>
      <c r="K7" s="6">
        <v>108.00606477573555</v>
      </c>
      <c r="L7" s="1">
        <f t="shared" si="3"/>
        <v>53291.331999999995</v>
      </c>
      <c r="M7" s="38">
        <v>319.92</v>
      </c>
      <c r="N7" s="1">
        <f t="shared" si="0"/>
        <v>-745955.99031522125</v>
      </c>
      <c r="O7" s="35">
        <f t="shared" si="1"/>
        <v>1.7307586469783063E-2</v>
      </c>
      <c r="P7" s="7" t="s">
        <v>14</v>
      </c>
      <c r="Q7" s="7">
        <v>0.97711334905190583</v>
      </c>
      <c r="R7"/>
      <c r="S7"/>
      <c r="T7"/>
      <c r="U7"/>
      <c r="V7"/>
    </row>
    <row r="8" spans="1:30" x14ac:dyDescent="0.2">
      <c r="A8" s="52">
        <v>36312</v>
      </c>
      <c r="B8" s="53">
        <v>43342959.899999999</v>
      </c>
      <c r="C8" s="29">
        <v>50.6</v>
      </c>
      <c r="D8" s="29">
        <v>58.2</v>
      </c>
      <c r="E8" s="53">
        <v>30</v>
      </c>
      <c r="F8" s="53">
        <v>0</v>
      </c>
      <c r="G8" s="53">
        <v>0</v>
      </c>
      <c r="H8" s="64">
        <v>9.1999999999999993</v>
      </c>
      <c r="I8" s="53">
        <v>248.6</v>
      </c>
      <c r="J8" s="53">
        <f t="shared" si="2"/>
        <v>44401266.59478569</v>
      </c>
      <c r="K8" s="6">
        <v>108.65895269143728</v>
      </c>
      <c r="L8" s="1">
        <f t="shared" si="3"/>
        <v>53265.315299999995</v>
      </c>
      <c r="M8" s="38">
        <v>352.08</v>
      </c>
      <c r="N8" s="1">
        <f t="shared" si="0"/>
        <v>1058306.6947856918</v>
      </c>
      <c r="O8" s="35">
        <f t="shared" si="1"/>
        <v>2.441703790482689E-2</v>
      </c>
      <c r="P8" s="7" t="s">
        <v>15</v>
      </c>
      <c r="Q8" s="7">
        <v>0.97637107929142719</v>
      </c>
      <c r="R8"/>
      <c r="S8"/>
      <c r="T8"/>
      <c r="U8"/>
      <c r="V8"/>
    </row>
    <row r="9" spans="1:30" x14ac:dyDescent="0.2">
      <c r="A9" s="52">
        <v>36342</v>
      </c>
      <c r="B9" s="53">
        <v>45592773.400000006</v>
      </c>
      <c r="C9" s="29">
        <v>17.899999999999999</v>
      </c>
      <c r="D9" s="29">
        <v>80.400000000000006</v>
      </c>
      <c r="E9" s="53">
        <v>31</v>
      </c>
      <c r="F9" s="53">
        <v>0</v>
      </c>
      <c r="G9" s="53">
        <v>0</v>
      </c>
      <c r="H9" s="64">
        <v>9.1999999999999993</v>
      </c>
      <c r="I9" s="53">
        <v>248.6</v>
      </c>
      <c r="J9" s="53">
        <f t="shared" si="2"/>
        <v>46589347.250163965</v>
      </c>
      <c r="K9" s="6">
        <v>109.31578726172135</v>
      </c>
      <c r="L9" s="1">
        <f t="shared" si="3"/>
        <v>53239.298599999995</v>
      </c>
      <c r="M9" s="38">
        <v>336.28800000000001</v>
      </c>
      <c r="N9" s="1">
        <f t="shared" si="0"/>
        <v>996573.85016395897</v>
      </c>
      <c r="O9" s="35">
        <f t="shared" si="1"/>
        <v>2.1858153734599501E-2</v>
      </c>
      <c r="P9" s="7" t="s">
        <v>16</v>
      </c>
      <c r="Q9" s="7">
        <v>1107528.2774922615</v>
      </c>
      <c r="R9"/>
      <c r="S9"/>
      <c r="T9"/>
      <c r="U9"/>
      <c r="V9"/>
    </row>
    <row r="10" spans="1:30" ht="13.5" thickBot="1" x14ac:dyDescent="0.25">
      <c r="A10" s="52">
        <v>36373</v>
      </c>
      <c r="B10" s="53">
        <v>42287374.5</v>
      </c>
      <c r="C10" s="29">
        <v>56.3</v>
      </c>
      <c r="D10" s="29">
        <v>23.2</v>
      </c>
      <c r="E10" s="53">
        <v>31</v>
      </c>
      <c r="F10" s="53">
        <v>0</v>
      </c>
      <c r="G10" s="53">
        <v>0</v>
      </c>
      <c r="H10" s="64">
        <v>9.1999999999999993</v>
      </c>
      <c r="I10" s="53">
        <v>248.6</v>
      </c>
      <c r="J10" s="53">
        <f t="shared" si="2"/>
        <v>42830445.995264009</v>
      </c>
      <c r="K10" s="6">
        <v>109.97659234379516</v>
      </c>
      <c r="L10" s="1">
        <f t="shared" si="3"/>
        <v>53213.281899999994</v>
      </c>
      <c r="M10" s="38">
        <v>336.28800000000001</v>
      </c>
      <c r="N10" s="1">
        <f t="shared" si="0"/>
        <v>543071.49526400864</v>
      </c>
      <c r="O10" s="35">
        <f t="shared" si="1"/>
        <v>1.284240276643348E-2</v>
      </c>
      <c r="P10" s="8" t="s">
        <v>17</v>
      </c>
      <c r="Q10" s="8">
        <v>192</v>
      </c>
      <c r="R10"/>
      <c r="S10"/>
      <c r="T10"/>
      <c r="U10"/>
      <c r="V10"/>
    </row>
    <row r="11" spans="1:30" x14ac:dyDescent="0.2">
      <c r="A11" s="52">
        <v>36404</v>
      </c>
      <c r="B11" s="53">
        <v>41300857.799999997</v>
      </c>
      <c r="C11" s="29">
        <v>114.9</v>
      </c>
      <c r="D11" s="29">
        <v>28.3</v>
      </c>
      <c r="E11" s="53">
        <v>30</v>
      </c>
      <c r="F11" s="53">
        <v>1</v>
      </c>
      <c r="G11" s="53">
        <v>0</v>
      </c>
      <c r="H11" s="64">
        <v>9.1999999999999993</v>
      </c>
      <c r="I11" s="53">
        <v>248.6</v>
      </c>
      <c r="J11" s="53">
        <f t="shared" si="2"/>
        <v>41670586.328665301</v>
      </c>
      <c r="K11" s="6">
        <v>110.64139193908095</v>
      </c>
      <c r="L11" s="1">
        <f t="shared" si="3"/>
        <v>53187.265199999994</v>
      </c>
      <c r="M11" s="38">
        <v>336.24</v>
      </c>
      <c r="N11" s="1">
        <f t="shared" si="0"/>
        <v>369728.52866530418</v>
      </c>
      <c r="O11" s="35">
        <f t="shared" si="1"/>
        <v>8.9520786821358517E-3</v>
      </c>
      <c r="P11"/>
      <c r="Q11"/>
      <c r="R11"/>
      <c r="S11"/>
      <c r="T11"/>
      <c r="U11"/>
      <c r="V11"/>
    </row>
    <row r="12" spans="1:30" ht="13.5" thickBot="1" x14ac:dyDescent="0.25">
      <c r="A12" s="52">
        <v>36434</v>
      </c>
      <c r="B12" s="53">
        <v>46442289.5</v>
      </c>
      <c r="C12" s="29">
        <v>396.7</v>
      </c>
      <c r="D12" s="29">
        <v>0</v>
      </c>
      <c r="E12" s="53">
        <v>31</v>
      </c>
      <c r="F12" s="53">
        <v>1</v>
      </c>
      <c r="G12" s="53">
        <v>0</v>
      </c>
      <c r="H12" s="64">
        <v>9.1999999999999993</v>
      </c>
      <c r="I12" s="53">
        <v>248.6</v>
      </c>
      <c r="J12" s="53">
        <f t="shared" si="2"/>
        <v>47470297.895436667</v>
      </c>
      <c r="K12" s="6">
        <v>111.31021019408762</v>
      </c>
      <c r="L12" s="1">
        <f t="shared" si="3"/>
        <v>53161.248499999994</v>
      </c>
      <c r="M12" s="38">
        <v>319.92</v>
      </c>
      <c r="N12" s="1">
        <f t="shared" si="0"/>
        <v>1028008.3954366669</v>
      </c>
      <c r="O12" s="35">
        <f t="shared" si="1"/>
        <v>2.2135179090097764E-2</v>
      </c>
      <c r="P12" t="s">
        <v>18</v>
      </c>
      <c r="Q12"/>
      <c r="R12"/>
      <c r="S12"/>
      <c r="T12"/>
      <c r="U12"/>
      <c r="V12"/>
    </row>
    <row r="13" spans="1:30" x14ac:dyDescent="0.2">
      <c r="A13" s="52">
        <v>36465</v>
      </c>
      <c r="B13" s="53">
        <v>50218866</v>
      </c>
      <c r="C13" s="29">
        <v>504.5</v>
      </c>
      <c r="D13" s="29">
        <v>0</v>
      </c>
      <c r="E13" s="53">
        <v>30</v>
      </c>
      <c r="F13" s="53">
        <v>1</v>
      </c>
      <c r="G13" s="53">
        <v>0</v>
      </c>
      <c r="H13" s="64">
        <v>9.1999999999999993</v>
      </c>
      <c r="I13" s="53">
        <v>248.6</v>
      </c>
      <c r="J13" s="53">
        <f t="shared" si="2"/>
        <v>48964008.861589007</v>
      </c>
      <c r="K13" s="6">
        <v>111.98307140128777</v>
      </c>
      <c r="L13" s="1">
        <f t="shared" si="3"/>
        <v>53135.231799999994</v>
      </c>
      <c r="M13" s="38">
        <v>352.08</v>
      </c>
      <c r="N13" s="1">
        <f t="shared" si="0"/>
        <v>-1254857.1384109929</v>
      </c>
      <c r="O13" s="35">
        <f t="shared" si="1"/>
        <v>2.4987763332031291E-2</v>
      </c>
      <c r="P13" s="9"/>
      <c r="Q13" s="9" t="s">
        <v>21</v>
      </c>
      <c r="R13" s="9" t="s">
        <v>22</v>
      </c>
      <c r="S13" s="9" t="s">
        <v>23</v>
      </c>
      <c r="T13" s="9" t="s">
        <v>24</v>
      </c>
      <c r="U13" s="9" t="s">
        <v>25</v>
      </c>
      <c r="V13"/>
    </row>
    <row r="14" spans="1:30" x14ac:dyDescent="0.2">
      <c r="A14" s="52">
        <v>36495</v>
      </c>
      <c r="B14" s="53">
        <v>58891278.099999994</v>
      </c>
      <c r="C14" s="29">
        <v>759</v>
      </c>
      <c r="D14" s="29">
        <v>0</v>
      </c>
      <c r="E14" s="53">
        <v>31</v>
      </c>
      <c r="F14" s="53">
        <v>0</v>
      </c>
      <c r="G14" s="53">
        <v>0</v>
      </c>
      <c r="H14" s="64">
        <v>9.1999999999999993</v>
      </c>
      <c r="I14" s="53">
        <v>248.6</v>
      </c>
      <c r="J14" s="53">
        <f t="shared" si="2"/>
        <v>58276558.234012417</v>
      </c>
      <c r="K14" s="6">
        <v>112.66</v>
      </c>
      <c r="L14" s="1">
        <f t="shared" si="3"/>
        <v>53109.215099999994</v>
      </c>
      <c r="M14" s="38">
        <v>336.28800000000001</v>
      </c>
      <c r="N14" s="1">
        <f t="shared" si="0"/>
        <v>-614719.86598757654</v>
      </c>
      <c r="O14" s="35">
        <f t="shared" si="1"/>
        <v>1.0438215739582949E-2</v>
      </c>
      <c r="P14" s="7" t="s">
        <v>19</v>
      </c>
      <c r="Q14" s="7">
        <v>6</v>
      </c>
      <c r="R14" s="7">
        <v>9688221864739128</v>
      </c>
      <c r="S14" s="7">
        <v>1614703644123188</v>
      </c>
      <c r="T14" s="7">
        <v>1316.3857684593108</v>
      </c>
      <c r="U14" s="7">
        <v>7.7033329765980091E-149</v>
      </c>
      <c r="V14"/>
    </row>
    <row r="15" spans="1:30" x14ac:dyDescent="0.2">
      <c r="A15" s="52">
        <v>36526</v>
      </c>
      <c r="B15" s="53">
        <v>64153164.5</v>
      </c>
      <c r="C15" s="29">
        <v>972</v>
      </c>
      <c r="D15" s="29">
        <v>0</v>
      </c>
      <c r="E15" s="53">
        <v>31</v>
      </c>
      <c r="F15" s="53">
        <v>0</v>
      </c>
      <c r="G15" s="53">
        <v>0</v>
      </c>
      <c r="H15" s="64">
        <v>9.1999999999999993</v>
      </c>
      <c r="I15" s="53">
        <v>248.6</v>
      </c>
      <c r="J15" s="53">
        <f t="shared" si="2"/>
        <v>63537258.27017273</v>
      </c>
      <c r="K15" s="6">
        <v>113.19947436635084</v>
      </c>
      <c r="L15" s="1">
        <f t="shared" si="3"/>
        <v>53083.198399999994</v>
      </c>
      <c r="M15" s="38">
        <v>319.92</v>
      </c>
      <c r="N15" s="1">
        <f t="shared" si="0"/>
        <v>-615906.22982726991</v>
      </c>
      <c r="O15" s="35">
        <f t="shared" si="1"/>
        <v>9.6005588286649512E-3</v>
      </c>
      <c r="P15" s="7" t="s">
        <v>20</v>
      </c>
      <c r="Q15" s="7">
        <v>185</v>
      </c>
      <c r="R15" s="7">
        <v>226924493807320.53</v>
      </c>
      <c r="S15" s="7">
        <v>1226618885444.9758</v>
      </c>
      <c r="T15" s="7"/>
      <c r="U15" s="7"/>
      <c r="V15"/>
    </row>
    <row r="16" spans="1:30" ht="13.5" thickBot="1" x14ac:dyDescent="0.25">
      <c r="A16" s="52">
        <v>36557</v>
      </c>
      <c r="B16" s="53">
        <v>56490500.700000003</v>
      </c>
      <c r="C16" s="29">
        <v>758.8</v>
      </c>
      <c r="D16" s="29">
        <v>0</v>
      </c>
      <c r="E16" s="53">
        <v>29</v>
      </c>
      <c r="F16" s="53">
        <v>0</v>
      </c>
      <c r="G16" s="53">
        <v>0</v>
      </c>
      <c r="H16" s="64">
        <v>9.1999999999999993</v>
      </c>
      <c r="I16" s="53">
        <v>248.6</v>
      </c>
      <c r="J16" s="53">
        <f t="shared" si="2"/>
        <v>55934125.387897395</v>
      </c>
      <c r="K16" s="6">
        <v>113.74153201507296</v>
      </c>
      <c r="L16" s="1">
        <f t="shared" si="3"/>
        <v>53057.181699999994</v>
      </c>
      <c r="M16" s="38">
        <v>336.16799999999995</v>
      </c>
      <c r="N16" s="1">
        <f t="shared" si="0"/>
        <v>-556375.31210260838</v>
      </c>
      <c r="O16" s="35">
        <f t="shared" si="1"/>
        <v>9.8490065623123135E-3</v>
      </c>
      <c r="P16" s="8" t="s">
        <v>6</v>
      </c>
      <c r="Q16" s="8">
        <v>191</v>
      </c>
      <c r="R16" s="8">
        <v>9915146358546448</v>
      </c>
      <c r="S16" s="8"/>
      <c r="T16" s="8"/>
      <c r="U16" s="8"/>
      <c r="V16"/>
    </row>
    <row r="17" spans="1:36" ht="13.5" thickBot="1" x14ac:dyDescent="0.25">
      <c r="A17" s="52">
        <v>36586</v>
      </c>
      <c r="B17" s="53">
        <v>52703249.400000006</v>
      </c>
      <c r="C17" s="29">
        <v>570.79999999999995</v>
      </c>
      <c r="D17" s="29">
        <v>0</v>
      </c>
      <c r="E17" s="53">
        <v>31</v>
      </c>
      <c r="F17" s="53">
        <v>1</v>
      </c>
      <c r="G17" s="53">
        <v>0</v>
      </c>
      <c r="H17" s="64">
        <v>9.1999999999999993</v>
      </c>
      <c r="I17" s="53">
        <v>248.6</v>
      </c>
      <c r="J17" s="53">
        <f t="shared" si="2"/>
        <v>51770240.976636238</v>
      </c>
      <c r="K17" s="6">
        <v>114.28618531625887</v>
      </c>
      <c r="L17" s="1">
        <f t="shared" si="3"/>
        <v>53031.164999999994</v>
      </c>
      <c r="M17" s="38">
        <v>368.28</v>
      </c>
      <c r="N17" s="1">
        <f t="shared" si="0"/>
        <v>-933008.42336376756</v>
      </c>
      <c r="O17" s="35">
        <f t="shared" si="1"/>
        <v>1.7703053113149556E-2</v>
      </c>
      <c r="P17"/>
      <c r="Q17"/>
      <c r="R17"/>
      <c r="S17"/>
      <c r="T17"/>
      <c r="U17"/>
      <c r="V17"/>
    </row>
    <row r="18" spans="1:36" x14ac:dyDescent="0.2">
      <c r="A18" s="52">
        <v>36617</v>
      </c>
      <c r="B18" s="53">
        <v>45985994.700000003</v>
      </c>
      <c r="C18" s="29">
        <v>435.7</v>
      </c>
      <c r="D18" s="29">
        <v>0</v>
      </c>
      <c r="E18" s="53">
        <v>30</v>
      </c>
      <c r="F18" s="53">
        <v>1</v>
      </c>
      <c r="G18" s="53">
        <v>0</v>
      </c>
      <c r="H18" s="64">
        <v>9.1999999999999993</v>
      </c>
      <c r="I18" s="53">
        <v>248.6</v>
      </c>
      <c r="J18" s="53">
        <f t="shared" si="2"/>
        <v>47264778.051786982</v>
      </c>
      <c r="K18" s="6">
        <v>114.83344669923545</v>
      </c>
      <c r="L18" s="1">
        <f t="shared" si="3"/>
        <v>53005.148299999993</v>
      </c>
      <c r="M18" s="38">
        <v>303.83999999999997</v>
      </c>
      <c r="N18" s="1">
        <f t="shared" si="0"/>
        <v>1278783.3517869785</v>
      </c>
      <c r="O18" s="35">
        <f t="shared" si="1"/>
        <v>2.7808104622492346E-2</v>
      </c>
      <c r="P18" s="9"/>
      <c r="Q18" s="9" t="s">
        <v>26</v>
      </c>
      <c r="R18" s="9" t="s">
        <v>16</v>
      </c>
      <c r="S18" s="9" t="s">
        <v>27</v>
      </c>
      <c r="T18" s="9" t="s">
        <v>28</v>
      </c>
      <c r="U18" s="9" t="s">
        <v>29</v>
      </c>
      <c r="V18" s="9" t="s">
        <v>30</v>
      </c>
      <c r="W18" s="9" t="s">
        <v>44</v>
      </c>
      <c r="X18" s="9" t="s">
        <v>45</v>
      </c>
    </row>
    <row r="19" spans="1:36" x14ac:dyDescent="0.2">
      <c r="A19" s="52">
        <v>36647</v>
      </c>
      <c r="B19" s="53">
        <v>42508040.599999994</v>
      </c>
      <c r="C19" s="29">
        <v>201.1</v>
      </c>
      <c r="D19" s="29">
        <v>2.8</v>
      </c>
      <c r="E19" s="53">
        <v>31</v>
      </c>
      <c r="F19" s="53">
        <v>1</v>
      </c>
      <c r="G19" s="53">
        <v>0</v>
      </c>
      <c r="H19" s="64">
        <v>9.1999999999999993</v>
      </c>
      <c r="I19" s="53">
        <v>248.6</v>
      </c>
      <c r="J19" s="53">
        <f t="shared" si="2"/>
        <v>42869772.90674179</v>
      </c>
      <c r="K19" s="6">
        <v>115.38332865284767</v>
      </c>
      <c r="L19" s="1">
        <f t="shared" si="3"/>
        <v>52979.131599999993</v>
      </c>
      <c r="M19" s="38">
        <v>351.91199999999998</v>
      </c>
      <c r="N19" s="1">
        <f t="shared" si="0"/>
        <v>361732.30674179643</v>
      </c>
      <c r="O19" s="35">
        <f t="shared" si="1"/>
        <v>8.5097384315050376E-3</v>
      </c>
      <c r="P19" s="7" t="s">
        <v>35</v>
      </c>
      <c r="Q19" s="7">
        <v>4479039.4041053141</v>
      </c>
      <c r="R19" s="7">
        <v>3159957.173082775</v>
      </c>
      <c r="S19" s="7">
        <v>1.4174367432124644</v>
      </c>
      <c r="T19" s="7">
        <v>0.15803726424205758</v>
      </c>
      <c r="U19" s="7">
        <v>-1755145.1339832321</v>
      </c>
      <c r="V19" s="7">
        <v>10713223.94219386</v>
      </c>
      <c r="W19" s="7">
        <v>-1755145.1339832321</v>
      </c>
      <c r="X19" s="7">
        <v>10713223.94219386</v>
      </c>
    </row>
    <row r="20" spans="1:36" x14ac:dyDescent="0.2">
      <c r="A20" s="52">
        <v>36678</v>
      </c>
      <c r="B20" s="53">
        <v>41335407.600000001</v>
      </c>
      <c r="C20" s="29">
        <v>104.1</v>
      </c>
      <c r="D20" s="29">
        <v>11.3</v>
      </c>
      <c r="E20" s="53">
        <v>30</v>
      </c>
      <c r="F20" s="53">
        <v>0</v>
      </c>
      <c r="G20" s="53">
        <v>0</v>
      </c>
      <c r="H20" s="64">
        <v>9.1999999999999993</v>
      </c>
      <c r="I20" s="53">
        <v>248.6</v>
      </c>
      <c r="J20" s="53">
        <f t="shared" si="2"/>
        <v>41862951.814873375</v>
      </c>
      <c r="K20" s="6">
        <v>115.9358437257435</v>
      </c>
      <c r="L20" s="1">
        <f t="shared" si="3"/>
        <v>52953.114899999993</v>
      </c>
      <c r="M20" s="38">
        <v>352.08</v>
      </c>
      <c r="N20" s="1">
        <f t="shared" si="0"/>
        <v>527544.21487337351</v>
      </c>
      <c r="O20" s="35">
        <f t="shared" si="1"/>
        <v>1.2762526015913133E-2</v>
      </c>
      <c r="P20" s="7" t="s">
        <v>1</v>
      </c>
      <c r="Q20" s="7">
        <v>24698.1222354944</v>
      </c>
      <c r="R20" s="7">
        <v>385.81802512446205</v>
      </c>
      <c r="S20" s="7">
        <v>64.01495167968622</v>
      </c>
      <c r="T20" s="7">
        <v>3.5871130586471701E-128</v>
      </c>
      <c r="U20" s="7">
        <v>23936.953449019908</v>
      </c>
      <c r="V20" s="7">
        <v>25459.291021968893</v>
      </c>
      <c r="W20" s="7">
        <v>23936.953449019908</v>
      </c>
      <c r="X20" s="7">
        <v>25459.291021968893</v>
      </c>
    </row>
    <row r="21" spans="1:36" x14ac:dyDescent="0.2">
      <c r="A21" s="52">
        <v>36708</v>
      </c>
      <c r="B21" s="53">
        <v>42423846.600000001</v>
      </c>
      <c r="C21" s="29">
        <v>48.4</v>
      </c>
      <c r="D21" s="29">
        <v>30.6</v>
      </c>
      <c r="E21" s="53">
        <v>31</v>
      </c>
      <c r="F21" s="53">
        <v>0</v>
      </c>
      <c r="G21" s="53">
        <v>0</v>
      </c>
      <c r="H21" s="64">
        <v>9.1999999999999993</v>
      </c>
      <c r="I21" s="53">
        <v>248.6</v>
      </c>
      <c r="J21" s="53">
        <f t="shared" si="2"/>
        <v>43244318.376818597</v>
      </c>
      <c r="K21" s="6">
        <v>116.49100452666036</v>
      </c>
      <c r="L21" s="1">
        <f t="shared" si="3"/>
        <v>52927.098199999993</v>
      </c>
      <c r="M21" s="38">
        <v>319.92</v>
      </c>
      <c r="N21" s="1">
        <f t="shared" si="0"/>
        <v>820471.77681859583</v>
      </c>
      <c r="O21" s="35">
        <f t="shared" si="1"/>
        <v>1.9339872325924254E-2</v>
      </c>
      <c r="P21" s="7" t="s">
        <v>2</v>
      </c>
      <c r="Q21" s="7">
        <v>82295.614488512991</v>
      </c>
      <c r="R21" s="7">
        <v>6121.9561347664776</v>
      </c>
      <c r="S21" s="7">
        <v>13.442699143360027</v>
      </c>
      <c r="T21" s="7">
        <v>3.4845766095835452E-29</v>
      </c>
      <c r="U21" s="7">
        <v>70217.791218210798</v>
      </c>
      <c r="V21" s="7">
        <v>94373.437758815184</v>
      </c>
      <c r="W21" s="7">
        <v>70217.791218210798</v>
      </c>
      <c r="X21" s="7">
        <v>94373.437758815184</v>
      </c>
    </row>
    <row r="22" spans="1:36" x14ac:dyDescent="0.2">
      <c r="A22" s="52">
        <v>36739</v>
      </c>
      <c r="B22" s="53">
        <v>43723678.899999999</v>
      </c>
      <c r="C22" s="29">
        <v>51.5</v>
      </c>
      <c r="D22" s="29">
        <v>24.2</v>
      </c>
      <c r="E22" s="53">
        <v>31</v>
      </c>
      <c r="F22" s="53">
        <v>0</v>
      </c>
      <c r="G22" s="53">
        <v>0</v>
      </c>
      <c r="H22" s="64">
        <v>9.1999999999999993</v>
      </c>
      <c r="I22" s="53">
        <v>248.6</v>
      </c>
      <c r="J22" s="53">
        <f t="shared" si="2"/>
        <v>42794190.623022147</v>
      </c>
      <c r="K22" s="6">
        <v>117.04882372471283</v>
      </c>
      <c r="L22" s="1">
        <f t="shared" si="3"/>
        <v>52901.081499999993</v>
      </c>
      <c r="M22" s="38">
        <v>351.91199999999998</v>
      </c>
      <c r="N22" s="1">
        <f t="shared" si="0"/>
        <v>-929488.27697785199</v>
      </c>
      <c r="O22" s="35">
        <f t="shared" si="1"/>
        <v>2.125823582008448E-2</v>
      </c>
      <c r="P22" s="7" t="s">
        <v>3</v>
      </c>
      <c r="Q22" s="7">
        <v>1168746.6108339597</v>
      </c>
      <c r="R22" s="7">
        <v>101753.28942809373</v>
      </c>
      <c r="S22" s="7">
        <v>11.486081849568912</v>
      </c>
      <c r="T22" s="7">
        <v>2.1337521500295721E-23</v>
      </c>
      <c r="U22" s="7">
        <v>968000.60419317475</v>
      </c>
      <c r="V22" s="7">
        <v>1369492.6174747446</v>
      </c>
      <c r="W22" s="7">
        <v>968000.60419317475</v>
      </c>
      <c r="X22" s="7">
        <v>1369492.6174747446</v>
      </c>
    </row>
    <row r="23" spans="1:36" x14ac:dyDescent="0.2">
      <c r="A23" s="52">
        <v>36770</v>
      </c>
      <c r="B23" s="53">
        <v>41935856.200000003</v>
      </c>
      <c r="C23" s="29">
        <v>195.9</v>
      </c>
      <c r="D23" s="29">
        <v>5.7</v>
      </c>
      <c r="E23" s="53">
        <v>30</v>
      </c>
      <c r="F23" s="53">
        <v>1</v>
      </c>
      <c r="G23" s="53">
        <v>0</v>
      </c>
      <c r="H23" s="64">
        <v>9.1999999999999993</v>
      </c>
      <c r="I23" s="53">
        <v>248.6</v>
      </c>
      <c r="J23" s="53">
        <f t="shared" si="2"/>
        <v>41811253.342299953</v>
      </c>
      <c r="K23" s="6">
        <v>117.60931404968176</v>
      </c>
      <c r="L23" s="1">
        <f t="shared" si="3"/>
        <v>52875.064799999993</v>
      </c>
      <c r="M23" s="38">
        <v>319.68</v>
      </c>
      <c r="N23" s="1">
        <f t="shared" si="0"/>
        <v>-124602.85770004988</v>
      </c>
      <c r="O23" s="35">
        <f t="shared" si="1"/>
        <v>2.971272533599776E-3</v>
      </c>
      <c r="P23" s="7" t="s">
        <v>9</v>
      </c>
      <c r="Q23" s="7">
        <v>-1858130.652656141</v>
      </c>
      <c r="R23" s="7">
        <v>208854.11325059595</v>
      </c>
      <c r="S23" s="7">
        <v>-8.8967874452472095</v>
      </c>
      <c r="T23" s="7">
        <v>5.1995393179506214E-16</v>
      </c>
      <c r="U23" s="7">
        <v>-2270172.6558307684</v>
      </c>
      <c r="V23" s="7">
        <v>-1446088.6494815135</v>
      </c>
      <c r="W23" s="7">
        <v>-2270172.6558307684</v>
      </c>
      <c r="X23" s="7">
        <v>-1446088.6494815135</v>
      </c>
    </row>
    <row r="24" spans="1:36" x14ac:dyDescent="0.2">
      <c r="A24" s="52">
        <v>36800</v>
      </c>
      <c r="B24" s="53">
        <v>45622937.200000003</v>
      </c>
      <c r="C24" s="29">
        <v>336.8</v>
      </c>
      <c r="D24" s="29">
        <v>0</v>
      </c>
      <c r="E24" s="53">
        <v>31</v>
      </c>
      <c r="F24" s="53">
        <v>1</v>
      </c>
      <c r="G24" s="53">
        <v>0</v>
      </c>
      <c r="H24" s="64">
        <v>9.1999999999999993</v>
      </c>
      <c r="I24" s="53">
        <v>248.6</v>
      </c>
      <c r="J24" s="53">
        <f t="shared" si="2"/>
        <v>45990880.373530544</v>
      </c>
      <c r="K24" s="6">
        <v>118.17248829230476</v>
      </c>
      <c r="L24" s="1">
        <f t="shared" si="3"/>
        <v>52849.048099999993</v>
      </c>
      <c r="M24" s="38">
        <v>336.28800000000001</v>
      </c>
      <c r="N24" s="1">
        <f t="shared" si="0"/>
        <v>367943.17353054136</v>
      </c>
      <c r="O24" s="35">
        <f t="shared" si="1"/>
        <v>8.0648725424574668E-3</v>
      </c>
      <c r="P24" s="7" t="s">
        <v>38</v>
      </c>
      <c r="Q24" s="7">
        <v>-2214831.734735366</v>
      </c>
      <c r="R24" s="7">
        <v>209502.00174225253</v>
      </c>
      <c r="S24" s="7">
        <v>-10.57188817441584</v>
      </c>
      <c r="T24" s="7">
        <v>9.8015278956351647E-21</v>
      </c>
      <c r="U24" s="7">
        <v>-2628151.9376436784</v>
      </c>
      <c r="V24" s="7">
        <v>-1801511.5318270535</v>
      </c>
      <c r="W24" s="7">
        <v>-2628151.9376436784</v>
      </c>
      <c r="X24" s="7">
        <v>-1801511.5318270535</v>
      </c>
    </row>
    <row r="25" spans="1:36" ht="13.5" thickBot="1" x14ac:dyDescent="0.25">
      <c r="A25" s="52">
        <v>36831</v>
      </c>
      <c r="B25" s="53">
        <v>50313527.200000003</v>
      </c>
      <c r="C25" s="29">
        <v>552.70000000000005</v>
      </c>
      <c r="D25" s="29">
        <v>0</v>
      </c>
      <c r="E25" s="53">
        <v>30</v>
      </c>
      <c r="F25" s="53">
        <v>1</v>
      </c>
      <c r="G25" s="53">
        <v>0</v>
      </c>
      <c r="H25" s="64">
        <v>9.1999999999999993</v>
      </c>
      <c r="I25" s="53">
        <v>248.6</v>
      </c>
      <c r="J25" s="53">
        <f t="shared" si="2"/>
        <v>50154458.353339829</v>
      </c>
      <c r="K25" s="6">
        <v>118.73835930456814</v>
      </c>
      <c r="L25" s="1">
        <f t="shared" si="3"/>
        <v>52823.031399999993</v>
      </c>
      <c r="M25" s="38">
        <v>352.08</v>
      </c>
      <c r="N25" s="1">
        <f t="shared" si="0"/>
        <v>-159068.84666017443</v>
      </c>
      <c r="O25" s="35">
        <f t="shared" si="1"/>
        <v>3.1615522805201863E-3</v>
      </c>
      <c r="P25" s="8" t="s">
        <v>46</v>
      </c>
      <c r="Q25" s="8">
        <v>-128206.61768324887</v>
      </c>
      <c r="R25" s="8">
        <v>68381.288842569295</v>
      </c>
      <c r="S25" s="8">
        <v>-1.8748786379035987</v>
      </c>
      <c r="T25" s="8">
        <v>6.2385344973700532E-2</v>
      </c>
      <c r="U25" s="8">
        <v>-263114.0073239202</v>
      </c>
      <c r="V25" s="8">
        <v>6700.7719574224757</v>
      </c>
      <c r="W25" s="8">
        <v>-263114.0073239202</v>
      </c>
      <c r="X25" s="8">
        <v>6700.7719574224757</v>
      </c>
    </row>
    <row r="26" spans="1:36" x14ac:dyDescent="0.2">
      <c r="A26" s="52">
        <v>36861</v>
      </c>
      <c r="B26" s="53">
        <v>63560276.100000001</v>
      </c>
      <c r="C26" s="29">
        <v>977.2</v>
      </c>
      <c r="D26" s="29">
        <v>0</v>
      </c>
      <c r="E26" s="53">
        <v>31</v>
      </c>
      <c r="F26" s="53">
        <v>0</v>
      </c>
      <c r="G26" s="53">
        <v>0</v>
      </c>
      <c r="H26" s="64">
        <v>9.1999999999999993</v>
      </c>
      <c r="I26" s="53">
        <v>248.6</v>
      </c>
      <c r="J26" s="53">
        <f t="shared" si="2"/>
        <v>63665688.505797304</v>
      </c>
      <c r="K26" s="6">
        <v>119.30694000000001</v>
      </c>
      <c r="L26" s="1">
        <f t="shared" si="3"/>
        <v>52797.014699999992</v>
      </c>
      <c r="M26" s="38">
        <v>304.29599999999999</v>
      </c>
      <c r="N26" s="1">
        <f t="shared" si="0"/>
        <v>105412.40579730272</v>
      </c>
      <c r="O26" s="35">
        <f t="shared" si="1"/>
        <v>1.6584636232771608E-3</v>
      </c>
      <c r="P26"/>
      <c r="Q26"/>
      <c r="R26"/>
      <c r="S26"/>
      <c r="T26"/>
      <c r="U26"/>
      <c r="V26"/>
    </row>
    <row r="27" spans="1:36" x14ac:dyDescent="0.2">
      <c r="A27" s="52">
        <v>36892</v>
      </c>
      <c r="B27" s="53">
        <v>62009098.799999997</v>
      </c>
      <c r="C27" s="29">
        <v>883.3</v>
      </c>
      <c r="D27" s="29">
        <v>0</v>
      </c>
      <c r="E27" s="53">
        <v>31</v>
      </c>
      <c r="F27" s="53">
        <v>0</v>
      </c>
      <c r="G27" s="53">
        <v>0</v>
      </c>
      <c r="H27" s="64">
        <v>9.1999999999999993</v>
      </c>
      <c r="I27" s="53">
        <v>248.6</v>
      </c>
      <c r="J27" s="53">
        <f t="shared" si="2"/>
        <v>61346534.827884376</v>
      </c>
      <c r="K27" s="6">
        <v>119.48444074573526</v>
      </c>
      <c r="L27" s="1">
        <f t="shared" si="3"/>
        <v>52770.997999999992</v>
      </c>
      <c r="M27" s="38">
        <v>351.91199999999998</v>
      </c>
      <c r="N27" s="1">
        <f t="shared" si="0"/>
        <v>-662563.97211562097</v>
      </c>
      <c r="O27" s="35">
        <f t="shared" si="1"/>
        <v>1.068494761152086E-2</v>
      </c>
      <c r="P27"/>
      <c r="Q27"/>
      <c r="R27"/>
      <c r="S27"/>
      <c r="T27"/>
      <c r="U27"/>
      <c r="V27"/>
    </row>
    <row r="28" spans="1:36" x14ac:dyDescent="0.2">
      <c r="A28" s="52">
        <v>36925</v>
      </c>
      <c r="B28" s="53">
        <v>55385237.399999999</v>
      </c>
      <c r="C28" s="29">
        <v>813.7</v>
      </c>
      <c r="D28" s="29">
        <v>0</v>
      </c>
      <c r="E28" s="53">
        <v>28</v>
      </c>
      <c r="F28" s="53">
        <v>0</v>
      </c>
      <c r="G28" s="53">
        <v>0</v>
      </c>
      <c r="H28" s="64">
        <v>9.1999999999999993</v>
      </c>
      <c r="I28" s="53">
        <v>248.6</v>
      </c>
      <c r="J28" s="53">
        <f t="shared" si="2"/>
        <v>56121305.687792085</v>
      </c>
      <c r="K28" s="6">
        <v>119.662205570951</v>
      </c>
      <c r="L28" s="1">
        <f t="shared" ref="L28:L59" si="4">L27+19.9167</f>
        <v>52790.914699999994</v>
      </c>
      <c r="M28" s="38">
        <v>319.87200000000001</v>
      </c>
      <c r="N28" s="1">
        <f t="shared" si="0"/>
        <v>736068.2877920866</v>
      </c>
      <c r="O28" s="35">
        <f t="shared" si="1"/>
        <v>1.3289972605445339E-2</v>
      </c>
      <c r="P28"/>
      <c r="Q28"/>
      <c r="R28"/>
      <c r="S28"/>
      <c r="T28"/>
      <c r="U28"/>
      <c r="V28"/>
    </row>
    <row r="29" spans="1:36" x14ac:dyDescent="0.2">
      <c r="A29" s="52">
        <v>36958</v>
      </c>
      <c r="B29" s="53">
        <v>55156674</v>
      </c>
      <c r="C29" s="29">
        <v>709.6</v>
      </c>
      <c r="D29" s="29">
        <v>0</v>
      </c>
      <c r="E29" s="53">
        <v>31</v>
      </c>
      <c r="F29" s="53">
        <v>1</v>
      </c>
      <c r="G29" s="53">
        <v>0</v>
      </c>
      <c r="H29" s="64">
        <v>9.1999999999999993</v>
      </c>
      <c r="I29" s="53">
        <v>248.6</v>
      </c>
      <c r="J29" s="53">
        <f t="shared" si="2"/>
        <v>55198340.342922859</v>
      </c>
      <c r="K29" s="6">
        <v>119.8402348685356</v>
      </c>
      <c r="L29" s="1">
        <f t="shared" si="4"/>
        <v>52810.831399999995</v>
      </c>
      <c r="M29" s="38">
        <v>351.91199999999998</v>
      </c>
      <c r="N29" s="1">
        <f t="shared" si="0"/>
        <v>41666.342922858894</v>
      </c>
      <c r="O29" s="35">
        <f t="shared" si="1"/>
        <v>7.5541797394924307E-4</v>
      </c>
      <c r="P29" s="63" t="s">
        <v>47</v>
      </c>
      <c r="Q29" s="61" t="s">
        <v>32</v>
      </c>
      <c r="T29"/>
      <c r="U29"/>
      <c r="V29"/>
      <c r="W29" s="4"/>
      <c r="X29" s="4"/>
      <c r="Z29" s="3"/>
      <c r="AA29" s="3"/>
      <c r="AI29" s="4"/>
      <c r="AJ29" s="4"/>
    </row>
    <row r="30" spans="1:36" x14ac:dyDescent="0.2">
      <c r="A30" s="52">
        <v>36991</v>
      </c>
      <c r="B30" s="53">
        <v>46076998.200000003</v>
      </c>
      <c r="C30" s="29">
        <v>387.2</v>
      </c>
      <c r="D30" s="29">
        <v>0</v>
      </c>
      <c r="E30" s="53">
        <v>30</v>
      </c>
      <c r="F30" s="53">
        <v>1</v>
      </c>
      <c r="G30" s="53">
        <v>0</v>
      </c>
      <c r="H30" s="64">
        <v>9.5</v>
      </c>
      <c r="I30" s="53">
        <v>248.1</v>
      </c>
      <c r="J30" s="53">
        <f t="shared" si="2"/>
        <v>46028457.13806054</v>
      </c>
      <c r="K30" s="6">
        <v>120.0185290319619</v>
      </c>
      <c r="L30" s="1">
        <f t="shared" si="4"/>
        <v>52830.748099999997</v>
      </c>
      <c r="M30" s="38">
        <v>319.68</v>
      </c>
      <c r="N30" s="1">
        <f t="shared" si="0"/>
        <v>-48541.061939463019</v>
      </c>
      <c r="O30" s="35">
        <f t="shared" si="1"/>
        <v>1.0534770891273688E-3</v>
      </c>
      <c r="P30" s="62" t="s">
        <v>14</v>
      </c>
      <c r="Q30" s="15">
        <f>Q7</f>
        <v>0.97711334905190583</v>
      </c>
      <c r="T30"/>
      <c r="U30"/>
      <c r="V30"/>
      <c r="W30" s="4"/>
      <c r="X30" s="4"/>
      <c r="Z30" s="3"/>
      <c r="AA30" s="3"/>
      <c r="AI30" s="4"/>
      <c r="AJ30" s="4"/>
    </row>
    <row r="31" spans="1:36" x14ac:dyDescent="0.2">
      <c r="A31" s="52">
        <v>37024</v>
      </c>
      <c r="B31" s="53">
        <v>43199113.899999999</v>
      </c>
      <c r="C31" s="29">
        <v>155.5</v>
      </c>
      <c r="D31" s="29">
        <v>3.7</v>
      </c>
      <c r="E31" s="53">
        <v>31</v>
      </c>
      <c r="F31" s="53">
        <v>1</v>
      </c>
      <c r="G31" s="53">
        <v>0</v>
      </c>
      <c r="H31" s="64">
        <v>9</v>
      </c>
      <c r="I31" s="53">
        <v>251.4</v>
      </c>
      <c r="J31" s="53">
        <f t="shared" si="2"/>
        <v>41843245.909379564</v>
      </c>
      <c r="K31" s="6">
        <v>120.19708845528815</v>
      </c>
      <c r="L31" s="1">
        <f t="shared" si="4"/>
        <v>52850.664799999999</v>
      </c>
      <c r="M31" s="38">
        <v>351.91199999999998</v>
      </c>
      <c r="N31" s="1">
        <f t="shared" si="0"/>
        <v>-1355867.9906204343</v>
      </c>
      <c r="O31" s="35">
        <f t="shared" si="1"/>
        <v>3.1386476902259659E-2</v>
      </c>
      <c r="P31" s="62" t="s">
        <v>15</v>
      </c>
      <c r="Q31" s="15">
        <f>Q8</f>
        <v>0.97637107929142719</v>
      </c>
      <c r="U31"/>
      <c r="V31"/>
      <c r="W31" s="4"/>
      <c r="X31" s="4"/>
      <c r="Z31" s="3"/>
      <c r="AA31" s="3"/>
      <c r="AI31" s="4"/>
      <c r="AJ31" s="4"/>
    </row>
    <row r="32" spans="1:36" x14ac:dyDescent="0.2">
      <c r="A32" s="52">
        <v>37057</v>
      </c>
      <c r="B32" s="53">
        <v>43534388.399999999</v>
      </c>
      <c r="C32" s="29">
        <v>59.5</v>
      </c>
      <c r="D32" s="29">
        <v>38.1</v>
      </c>
      <c r="E32" s="53">
        <v>30</v>
      </c>
      <c r="F32" s="53">
        <v>0</v>
      </c>
      <c r="G32" s="53">
        <v>0</v>
      </c>
      <c r="H32" s="64">
        <v>8</v>
      </c>
      <c r="I32" s="53">
        <v>254.7</v>
      </c>
      <c r="J32" s="53">
        <f t="shared" si="2"/>
        <v>43120785.972682379</v>
      </c>
      <c r="K32" s="6">
        <v>120.37591353315888</v>
      </c>
      <c r="L32" s="1">
        <f t="shared" si="4"/>
        <v>52870.5815</v>
      </c>
      <c r="M32" s="38">
        <v>336.24</v>
      </c>
      <c r="N32" s="1">
        <f t="shared" si="0"/>
        <v>-413602.42731761932</v>
      </c>
      <c r="O32" s="35">
        <f t="shared" si="1"/>
        <v>9.5005911997059159E-3</v>
      </c>
      <c r="P32" s="62" t="s">
        <v>33</v>
      </c>
      <c r="Q32" s="16">
        <f>T14</f>
        <v>1316.3857684593108</v>
      </c>
      <c r="U32"/>
      <c r="V32"/>
      <c r="W32" s="4"/>
      <c r="X32" s="4"/>
      <c r="Z32" s="3"/>
      <c r="AA32" s="3"/>
      <c r="AI32" s="4"/>
      <c r="AJ32" s="4"/>
    </row>
    <row r="33" spans="1:36" x14ac:dyDescent="0.2">
      <c r="A33" s="52">
        <v>37090</v>
      </c>
      <c r="B33" s="53">
        <v>42688389.599999994</v>
      </c>
      <c r="C33" s="29">
        <v>53.1</v>
      </c>
      <c r="D33" s="29">
        <v>62.5</v>
      </c>
      <c r="E33" s="53">
        <v>31</v>
      </c>
      <c r="F33" s="53">
        <v>0</v>
      </c>
      <c r="G33" s="53">
        <v>0</v>
      </c>
      <c r="H33" s="64">
        <v>7.6</v>
      </c>
      <c r="I33" s="53">
        <v>257.3</v>
      </c>
      <c r="J33" s="53">
        <f t="shared" si="2"/>
        <v>46190760.241802186</v>
      </c>
      <c r="K33" s="6">
        <v>120.55500466080574</v>
      </c>
      <c r="L33" s="1">
        <f t="shared" si="4"/>
        <v>52890.498200000002</v>
      </c>
      <c r="M33" s="38">
        <v>336.28800000000001</v>
      </c>
      <c r="N33" s="1">
        <f t="shared" si="0"/>
        <v>3502370.6418021917</v>
      </c>
      <c r="O33" s="35">
        <f t="shared" si="1"/>
        <v>8.2045040223353669E-2</v>
      </c>
      <c r="P33" s="62" t="s">
        <v>41</v>
      </c>
      <c r="Q33" s="15">
        <f>O195</f>
        <v>1.7852599464816196E-2</v>
      </c>
      <c r="U33"/>
      <c r="V33"/>
      <c r="W33" s="4"/>
      <c r="X33" s="4"/>
      <c r="Z33" s="3"/>
      <c r="AA33" s="3"/>
      <c r="AI33" s="4"/>
      <c r="AJ33" s="4"/>
    </row>
    <row r="34" spans="1:36" x14ac:dyDescent="0.2">
      <c r="A34" s="52">
        <v>37123</v>
      </c>
      <c r="B34" s="53">
        <v>45403097</v>
      </c>
      <c r="C34" s="29">
        <v>17.899999999999999</v>
      </c>
      <c r="D34" s="29">
        <v>79</v>
      </c>
      <c r="E34" s="53">
        <v>31</v>
      </c>
      <c r="F34" s="53">
        <v>0</v>
      </c>
      <c r="G34" s="53">
        <v>0</v>
      </c>
      <c r="H34" s="64">
        <v>8.1999999999999993</v>
      </c>
      <c r="I34" s="53">
        <v>256.7</v>
      </c>
      <c r="J34" s="53">
        <f t="shared" si="2"/>
        <v>46602340.0075633</v>
      </c>
      <c r="K34" s="6">
        <v>120.7343622340484</v>
      </c>
      <c r="L34" s="1">
        <f t="shared" si="4"/>
        <v>52910.414900000003</v>
      </c>
      <c r="M34" s="38">
        <v>351.91199999999998</v>
      </c>
      <c r="N34" s="1">
        <f t="shared" si="0"/>
        <v>1199243.0075633004</v>
      </c>
      <c r="O34" s="35">
        <f t="shared" si="1"/>
        <v>2.6413242417434663E-2</v>
      </c>
      <c r="P34" s="62" t="s">
        <v>48</v>
      </c>
      <c r="Q34" s="16"/>
      <c r="U34"/>
      <c r="V34"/>
      <c r="W34" s="4"/>
      <c r="X34" s="4"/>
      <c r="Z34" s="3"/>
      <c r="AA34" s="3"/>
      <c r="AI34" s="4"/>
      <c r="AJ34" s="4"/>
    </row>
    <row r="35" spans="1:36" x14ac:dyDescent="0.2">
      <c r="A35" s="52">
        <v>37156</v>
      </c>
      <c r="B35" s="53">
        <v>42491205.600000001</v>
      </c>
      <c r="C35" s="29">
        <v>161.19999999999999</v>
      </c>
      <c r="D35" s="29">
        <v>11.8</v>
      </c>
      <c r="E35" s="53">
        <v>30</v>
      </c>
      <c r="F35" s="53">
        <v>1</v>
      </c>
      <c r="G35" s="53">
        <v>0</v>
      </c>
      <c r="H35" s="64">
        <v>8.1999999999999993</v>
      </c>
      <c r="I35" s="53">
        <v>253.4</v>
      </c>
      <c r="J35" s="53">
        <f t="shared" si="2"/>
        <v>41584438.366791479</v>
      </c>
      <c r="K35" s="6">
        <v>120.91398664929544</v>
      </c>
      <c r="L35" s="1">
        <f t="shared" si="4"/>
        <v>52930.331600000005</v>
      </c>
      <c r="M35" s="38">
        <v>303.83999999999997</v>
      </c>
      <c r="N35" s="1">
        <f t="shared" ref="N35:N66" si="5">J35-B35</f>
        <v>-906767.2332085222</v>
      </c>
      <c r="O35" s="35">
        <f t="shared" ref="O35:O66" si="6">ABS(N35/B35)</f>
        <v>2.1340115452231891E-2</v>
      </c>
      <c r="P35" s="17" t="str">
        <f>P20</f>
        <v>Heating Degree Days</v>
      </c>
      <c r="Q35" s="65">
        <f>Q20</f>
        <v>24698.1222354944</v>
      </c>
      <c r="U35"/>
      <c r="V35"/>
      <c r="W35" s="4"/>
      <c r="X35" s="4"/>
      <c r="Z35" s="3"/>
      <c r="AA35" s="3"/>
      <c r="AI35" s="4"/>
      <c r="AJ35" s="4"/>
    </row>
    <row r="36" spans="1:36" x14ac:dyDescent="0.2">
      <c r="A36" s="52">
        <v>37189</v>
      </c>
      <c r="B36" s="53">
        <v>47325120</v>
      </c>
      <c r="C36" s="29">
        <v>341.5</v>
      </c>
      <c r="D36" s="29">
        <v>0</v>
      </c>
      <c r="E36" s="53">
        <v>31</v>
      </c>
      <c r="F36" s="53">
        <v>1</v>
      </c>
      <c r="G36" s="53">
        <v>0</v>
      </c>
      <c r="H36" s="64">
        <v>7.8</v>
      </c>
      <c r="I36" s="53">
        <v>251.6</v>
      </c>
      <c r="J36" s="53">
        <f t="shared" si="2"/>
        <v>46286450.812793925</v>
      </c>
      <c r="K36" s="6">
        <v>121.09387830354515</v>
      </c>
      <c r="L36" s="1">
        <f t="shared" si="4"/>
        <v>52950.248300000007</v>
      </c>
      <c r="M36" s="38">
        <v>351.91199999999998</v>
      </c>
      <c r="N36" s="1">
        <f t="shared" si="5"/>
        <v>-1038669.1872060746</v>
      </c>
      <c r="O36" s="35">
        <f t="shared" si="6"/>
        <v>2.1947523581685047E-2</v>
      </c>
      <c r="P36" s="17" t="str">
        <f t="shared" ref="P36:Q40" si="7">P21</f>
        <v>Cooling Degree Days</v>
      </c>
      <c r="Q36" s="65">
        <f t="shared" si="7"/>
        <v>82295.614488512991</v>
      </c>
      <c r="U36"/>
      <c r="V36"/>
      <c r="W36" s="4"/>
      <c r="X36" s="4"/>
      <c r="Z36" s="3"/>
      <c r="AA36" s="3"/>
      <c r="AI36" s="4"/>
      <c r="AJ36" s="4"/>
    </row>
    <row r="37" spans="1:36" x14ac:dyDescent="0.2">
      <c r="A37" s="52">
        <v>37222</v>
      </c>
      <c r="B37" s="53">
        <v>49866264.600000001</v>
      </c>
      <c r="C37" s="29">
        <v>457.5</v>
      </c>
      <c r="D37" s="29">
        <v>0</v>
      </c>
      <c r="E37" s="53">
        <v>30</v>
      </c>
      <c r="F37" s="53">
        <v>1</v>
      </c>
      <c r="G37" s="53">
        <v>0</v>
      </c>
      <c r="H37" s="64">
        <v>7.1</v>
      </c>
      <c r="I37" s="53">
        <v>249.5</v>
      </c>
      <c r="J37" s="53">
        <f t="shared" si="2"/>
        <v>48072431.013655595</v>
      </c>
      <c r="K37" s="6">
        <v>121.27403759438651</v>
      </c>
      <c r="L37" s="1">
        <f t="shared" si="4"/>
        <v>52970.165000000008</v>
      </c>
      <c r="M37" s="38">
        <v>352.08</v>
      </c>
      <c r="N37" s="1">
        <f t="shared" si="5"/>
        <v>-1793833.586344406</v>
      </c>
      <c r="O37" s="35">
        <f t="shared" si="6"/>
        <v>3.5972888700077324E-2</v>
      </c>
      <c r="P37" s="17" t="str">
        <f t="shared" si="7"/>
        <v>Number of Days in Month</v>
      </c>
      <c r="Q37" s="65">
        <f t="shared" si="7"/>
        <v>1168746.6108339597</v>
      </c>
      <c r="U37"/>
      <c r="V37"/>
      <c r="W37" s="4"/>
      <c r="X37" s="4"/>
      <c r="Z37" s="3"/>
      <c r="AA37" s="3"/>
      <c r="AI37" s="4"/>
      <c r="AJ37" s="4"/>
    </row>
    <row r="38" spans="1:36" x14ac:dyDescent="0.2">
      <c r="A38" s="52">
        <v>37255</v>
      </c>
      <c r="B38" s="53">
        <v>54707252.299999997</v>
      </c>
      <c r="C38" s="29">
        <v>656.1</v>
      </c>
      <c r="D38" s="29">
        <v>0</v>
      </c>
      <c r="E38" s="53">
        <v>31</v>
      </c>
      <c r="F38" s="53">
        <v>0</v>
      </c>
      <c r="G38" s="53">
        <v>0</v>
      </c>
      <c r="H38" s="64">
        <v>7.4</v>
      </c>
      <c r="I38" s="53">
        <v>247</v>
      </c>
      <c r="J38" s="53">
        <f t="shared" si="2"/>
        <v>55965893.367809907</v>
      </c>
      <c r="K38" s="6">
        <v>121.45446492000001</v>
      </c>
      <c r="L38" s="1">
        <f t="shared" si="4"/>
        <v>52990.08170000001</v>
      </c>
      <c r="M38" s="38">
        <v>304.29599999999999</v>
      </c>
      <c r="N38" s="1">
        <f t="shared" si="5"/>
        <v>1258641.0678099096</v>
      </c>
      <c r="O38" s="35">
        <f t="shared" si="6"/>
        <v>2.3006841230260613E-2</v>
      </c>
      <c r="P38" s="17" t="str">
        <f t="shared" si="7"/>
        <v>Spring Fall Flag</v>
      </c>
      <c r="Q38" s="65">
        <f t="shared" si="7"/>
        <v>-1858130.652656141</v>
      </c>
      <c r="U38"/>
      <c r="V38"/>
      <c r="W38" s="4"/>
      <c r="X38" s="4"/>
      <c r="Z38" s="3"/>
      <c r="AA38" s="3"/>
      <c r="AI38" s="4"/>
      <c r="AJ38" s="4"/>
    </row>
    <row r="39" spans="1:36" s="23" customFormat="1" x14ac:dyDescent="0.2">
      <c r="A39" s="43">
        <v>37275</v>
      </c>
      <c r="B39" s="53">
        <v>59190699.900000006</v>
      </c>
      <c r="C39" s="29">
        <v>799.5</v>
      </c>
      <c r="D39" s="29">
        <v>0</v>
      </c>
      <c r="E39" s="53">
        <v>31</v>
      </c>
      <c r="F39" s="53">
        <v>0</v>
      </c>
      <c r="G39" s="53">
        <v>0</v>
      </c>
      <c r="H39" s="64">
        <v>8.4</v>
      </c>
      <c r="I39" s="53">
        <v>241.3</v>
      </c>
      <c r="J39" s="53">
        <f t="shared" si="2"/>
        <v>59379397.478696555</v>
      </c>
      <c r="K39" s="6">
        <v>121.76385066248655</v>
      </c>
      <c r="L39" s="1">
        <f t="shared" si="4"/>
        <v>53009.998400000011</v>
      </c>
      <c r="M39" s="38">
        <v>351.91199999999998</v>
      </c>
      <c r="N39" s="1">
        <f t="shared" si="5"/>
        <v>188697.57869654894</v>
      </c>
      <c r="O39" s="35">
        <f t="shared" si="6"/>
        <v>3.1879599162595628E-3</v>
      </c>
      <c r="P39" s="17" t="str">
        <f t="shared" si="7"/>
        <v>North Bay  Economy</v>
      </c>
      <c r="Q39" s="65">
        <f t="shared" si="7"/>
        <v>-2214831.734735366</v>
      </c>
      <c r="R39" s="4"/>
      <c r="S39" s="4"/>
      <c r="T39" s="4"/>
      <c r="U39"/>
      <c r="V39"/>
      <c r="W39" s="4"/>
      <c r="X39" s="4"/>
      <c r="Y39" s="4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6" x14ac:dyDescent="0.2">
      <c r="A40" s="52">
        <v>37308</v>
      </c>
      <c r="B40" s="53">
        <v>54122186.700000003</v>
      </c>
      <c r="C40" s="29">
        <v>770.7</v>
      </c>
      <c r="D40" s="29">
        <v>0</v>
      </c>
      <c r="E40" s="53">
        <v>28</v>
      </c>
      <c r="F40" s="53">
        <v>0</v>
      </c>
      <c r="G40" s="53">
        <v>0</v>
      </c>
      <c r="H40" s="64">
        <v>9.6999999999999993</v>
      </c>
      <c r="I40" s="53">
        <v>235.9</v>
      </c>
      <c r="J40" s="53">
        <f t="shared" si="2"/>
        <v>54995183.122824207</v>
      </c>
      <c r="K40" s="6">
        <v>122.07402451546137</v>
      </c>
      <c r="L40" s="1">
        <f t="shared" si="4"/>
        <v>53029.915100000013</v>
      </c>
      <c r="M40" s="38">
        <v>319.87200000000001</v>
      </c>
      <c r="N40" s="1">
        <f t="shared" si="5"/>
        <v>872996.42282420397</v>
      </c>
      <c r="O40" s="35">
        <f t="shared" si="6"/>
        <v>1.6130102570748567E-2</v>
      </c>
      <c r="P40" s="17" t="str">
        <f t="shared" si="7"/>
        <v>Northeastern Unemployment Rate</v>
      </c>
      <c r="Q40" s="65">
        <f t="shared" si="7"/>
        <v>-128206.61768324887</v>
      </c>
      <c r="U40"/>
      <c r="V40"/>
      <c r="W40" s="4"/>
      <c r="X40" s="4"/>
      <c r="Z40" s="3"/>
      <c r="AA40" s="3"/>
      <c r="AI40" s="4"/>
      <c r="AJ40" s="4"/>
    </row>
    <row r="41" spans="1:36" x14ac:dyDescent="0.2">
      <c r="A41" s="52">
        <v>37341</v>
      </c>
      <c r="B41" s="53">
        <v>56174150.400000006</v>
      </c>
      <c r="C41" s="29">
        <v>756.4</v>
      </c>
      <c r="D41" s="29">
        <v>0</v>
      </c>
      <c r="E41" s="53">
        <v>31</v>
      </c>
      <c r="F41" s="53">
        <v>1</v>
      </c>
      <c r="G41" s="53">
        <v>0</v>
      </c>
      <c r="H41" s="64">
        <v>10.7</v>
      </c>
      <c r="I41" s="53">
        <v>233</v>
      </c>
      <c r="J41" s="53">
        <f t="shared" si="2"/>
        <v>56161902.537019126</v>
      </c>
      <c r="K41" s="6">
        <v>122.3849884865094</v>
      </c>
      <c r="L41" s="1">
        <f t="shared" si="4"/>
        <v>53049.831800000014</v>
      </c>
      <c r="M41" s="38">
        <v>319.92</v>
      </c>
      <c r="N41" s="1">
        <f t="shared" si="5"/>
        <v>-12247.862980879843</v>
      </c>
      <c r="O41" s="35">
        <f t="shared" si="6"/>
        <v>2.1803379123077653E-4</v>
      </c>
      <c r="P41" s="17" t="s">
        <v>42</v>
      </c>
      <c r="Q41" s="65">
        <f>Q19</f>
        <v>4479039.4041053141</v>
      </c>
      <c r="U41"/>
      <c r="V41"/>
      <c r="W41" s="4"/>
      <c r="X41" s="4"/>
      <c r="Z41" s="3"/>
      <c r="AA41" s="3"/>
      <c r="AI41" s="4"/>
      <c r="AJ41" s="4"/>
    </row>
    <row r="42" spans="1:36" x14ac:dyDescent="0.2">
      <c r="A42" s="52">
        <v>37374</v>
      </c>
      <c r="B42" s="53">
        <v>46696819.100000001</v>
      </c>
      <c r="C42" s="29">
        <v>443.6</v>
      </c>
      <c r="D42" s="29">
        <v>0.5</v>
      </c>
      <c r="E42" s="53">
        <v>30</v>
      </c>
      <c r="F42" s="53">
        <v>1</v>
      </c>
      <c r="G42" s="53">
        <v>0</v>
      </c>
      <c r="H42" s="64">
        <v>11</v>
      </c>
      <c r="I42" s="53">
        <v>235.3</v>
      </c>
      <c r="J42" s="53">
        <f t="shared" si="2"/>
        <v>47270269.112861805</v>
      </c>
      <c r="K42" s="6">
        <v>122.69674458832949</v>
      </c>
      <c r="L42" s="1">
        <f t="shared" si="4"/>
        <v>53069.748500000016</v>
      </c>
      <c r="M42" s="38">
        <v>352.08</v>
      </c>
      <c r="N42" s="1">
        <f t="shared" si="5"/>
        <v>573450.01286180317</v>
      </c>
      <c r="O42" s="35">
        <f t="shared" si="6"/>
        <v>1.2280279982963618E-2</v>
      </c>
      <c r="P42" s="62" t="s">
        <v>34</v>
      </c>
      <c r="Q42" s="16"/>
    </row>
    <row r="43" spans="1:36" x14ac:dyDescent="0.2">
      <c r="A43" s="52">
        <v>37407</v>
      </c>
      <c r="B43" s="53">
        <v>45039769.999999993</v>
      </c>
      <c r="C43" s="29">
        <v>304</v>
      </c>
      <c r="D43" s="29">
        <v>0.8</v>
      </c>
      <c r="E43" s="53">
        <v>31</v>
      </c>
      <c r="F43" s="53">
        <v>1</v>
      </c>
      <c r="G43" s="53">
        <v>0</v>
      </c>
      <c r="H43" s="64">
        <v>10.8</v>
      </c>
      <c r="I43" s="53">
        <v>243.8</v>
      </c>
      <c r="J43" s="53">
        <f t="shared" si="2"/>
        <v>45041487.867503949</v>
      </c>
      <c r="K43" s="6">
        <v>123.00929483874758</v>
      </c>
      <c r="L43" s="1">
        <f t="shared" si="4"/>
        <v>53089.665200000018</v>
      </c>
      <c r="M43" s="38">
        <v>351.91199999999998</v>
      </c>
      <c r="N43" s="1">
        <f t="shared" si="5"/>
        <v>1717.8675039559603</v>
      </c>
      <c r="O43" s="35">
        <f t="shared" si="6"/>
        <v>3.8141125142423252E-5</v>
      </c>
      <c r="P43" s="17" t="str">
        <f>P35</f>
        <v>Heating Degree Days</v>
      </c>
      <c r="Q43" s="66">
        <f>S20</f>
        <v>64.01495167968622</v>
      </c>
    </row>
    <row r="44" spans="1:36" x14ac:dyDescent="0.2">
      <c r="A44" s="52">
        <v>37408</v>
      </c>
      <c r="B44" s="53">
        <v>42372405</v>
      </c>
      <c r="C44" s="29">
        <v>83.6</v>
      </c>
      <c r="D44" s="29">
        <v>34.1</v>
      </c>
      <c r="E44" s="53">
        <v>30</v>
      </c>
      <c r="F44" s="53">
        <v>0</v>
      </c>
      <c r="G44" s="53">
        <v>0</v>
      </c>
      <c r="H44" s="64">
        <v>9.8000000000000007</v>
      </c>
      <c r="I44" s="53">
        <v>253.9</v>
      </c>
      <c r="J44" s="53">
        <f t="shared" si="2"/>
        <v>43156056.348773889</v>
      </c>
      <c r="K44" s="6">
        <v>123.32264126072967</v>
      </c>
      <c r="L44" s="1">
        <f t="shared" si="4"/>
        <v>53109.581900000019</v>
      </c>
      <c r="M44" s="38">
        <v>319.68</v>
      </c>
      <c r="N44" s="1">
        <f t="shared" si="5"/>
        <v>783651.34877388924</v>
      </c>
      <c r="O44" s="35">
        <f t="shared" si="6"/>
        <v>1.8494379744880877E-2</v>
      </c>
      <c r="P44" s="17" t="str">
        <f t="shared" ref="P44:P49" si="8">P36</f>
        <v>Cooling Degree Days</v>
      </c>
      <c r="Q44" s="66">
        <f t="shared" ref="Q44:Q48" si="9">S21</f>
        <v>13.442699143360027</v>
      </c>
    </row>
    <row r="45" spans="1:36" x14ac:dyDescent="0.2">
      <c r="A45" s="52">
        <v>37440</v>
      </c>
      <c r="B45" s="53">
        <v>45838809</v>
      </c>
      <c r="C45" s="29">
        <v>18.2</v>
      </c>
      <c r="D45" s="29">
        <v>74.099999999999994</v>
      </c>
      <c r="E45" s="53">
        <v>31</v>
      </c>
      <c r="F45" s="53">
        <v>0</v>
      </c>
      <c r="G45" s="53">
        <v>0</v>
      </c>
      <c r="H45" s="64">
        <v>8.6999999999999993</v>
      </c>
      <c r="I45" s="53">
        <v>263.8</v>
      </c>
      <c r="J45" s="53">
        <f t="shared" si="2"/>
        <v>46142397.624398604</v>
      </c>
      <c r="K45" s="6">
        <v>123.63678588239495</v>
      </c>
      <c r="L45" s="1">
        <f t="shared" si="4"/>
        <v>53129.498600000021</v>
      </c>
      <c r="M45" s="38">
        <v>351.91199999999998</v>
      </c>
      <c r="N45" s="1">
        <f t="shared" si="5"/>
        <v>303588.62439860404</v>
      </c>
      <c r="O45" s="35">
        <f t="shared" si="6"/>
        <v>6.6229605659825072E-3</v>
      </c>
      <c r="P45" s="17" t="str">
        <f t="shared" si="8"/>
        <v>Number of Days in Month</v>
      </c>
      <c r="Q45" s="66">
        <f t="shared" si="9"/>
        <v>11.486081849568912</v>
      </c>
    </row>
    <row r="46" spans="1:36" x14ac:dyDescent="0.2">
      <c r="A46" s="52">
        <v>37473</v>
      </c>
      <c r="B46" s="53">
        <v>45311412</v>
      </c>
      <c r="C46" s="29">
        <v>22</v>
      </c>
      <c r="D46" s="29">
        <v>62.6</v>
      </c>
      <c r="E46" s="53">
        <v>31</v>
      </c>
      <c r="F46" s="53">
        <v>0</v>
      </c>
      <c r="G46" s="53">
        <v>0</v>
      </c>
      <c r="H46" s="64">
        <v>8.1</v>
      </c>
      <c r="I46" s="53">
        <v>268.5</v>
      </c>
      <c r="J46" s="53">
        <f t="shared" si="2"/>
        <v>45366774.892885543</v>
      </c>
      <c r="K46" s="6">
        <v>123.9517307370289</v>
      </c>
      <c r="L46" s="1">
        <f t="shared" si="4"/>
        <v>53149.415300000022</v>
      </c>
      <c r="M46" s="38">
        <v>336.28800000000001</v>
      </c>
      <c r="N46" s="1">
        <f t="shared" si="5"/>
        <v>55362.892885543406</v>
      </c>
      <c r="O46" s="35">
        <f t="shared" si="6"/>
        <v>1.2218311114547348E-3</v>
      </c>
      <c r="P46" s="17" t="str">
        <f t="shared" si="8"/>
        <v>Spring Fall Flag</v>
      </c>
      <c r="Q46" s="66">
        <f t="shared" si="9"/>
        <v>-8.8967874452472095</v>
      </c>
    </row>
    <row r="47" spans="1:36" x14ac:dyDescent="0.2">
      <c r="A47" s="52">
        <v>37506</v>
      </c>
      <c r="B47" s="53">
        <v>42710904</v>
      </c>
      <c r="C47" s="29">
        <v>89.1</v>
      </c>
      <c r="D47" s="29">
        <v>30.2</v>
      </c>
      <c r="E47" s="53">
        <v>30</v>
      </c>
      <c r="F47" s="53">
        <v>1</v>
      </c>
      <c r="G47" s="53">
        <v>0</v>
      </c>
      <c r="H47" s="64">
        <v>7.9</v>
      </c>
      <c r="I47" s="53">
        <v>266.39999999999998</v>
      </c>
      <c r="J47" s="53">
        <f t="shared" si="2"/>
        <v>41356405.045505948</v>
      </c>
      <c r="K47" s="6">
        <v>124.26747786309649</v>
      </c>
      <c r="L47" s="1">
        <f t="shared" si="4"/>
        <v>53169.332000000024</v>
      </c>
      <c r="M47" s="38">
        <v>319.68</v>
      </c>
      <c r="N47" s="1">
        <f t="shared" si="5"/>
        <v>-1354498.9544940516</v>
      </c>
      <c r="O47" s="35">
        <f t="shared" si="6"/>
        <v>3.1713188615582838E-2</v>
      </c>
      <c r="P47" s="17" t="str">
        <f t="shared" si="8"/>
        <v>North Bay  Economy</v>
      </c>
      <c r="Q47" s="66">
        <f t="shared" si="9"/>
        <v>-10.57188817441584</v>
      </c>
    </row>
    <row r="48" spans="1:36" x14ac:dyDescent="0.2">
      <c r="A48" s="52">
        <v>37539</v>
      </c>
      <c r="B48" s="53">
        <v>46917981</v>
      </c>
      <c r="C48" s="29">
        <v>438.3</v>
      </c>
      <c r="D48" s="29">
        <v>2.2000000000000002</v>
      </c>
      <c r="E48" s="53">
        <v>31</v>
      </c>
      <c r="F48" s="53">
        <v>1</v>
      </c>
      <c r="G48" s="53">
        <v>0</v>
      </c>
      <c r="H48" s="64">
        <v>7.7</v>
      </c>
      <c r="I48" s="53">
        <v>261.7</v>
      </c>
      <c r="J48" s="53">
        <f t="shared" si="2"/>
        <v>48871100.058832832</v>
      </c>
      <c r="K48" s="6">
        <v>124.58402930425534</v>
      </c>
      <c r="L48" s="1">
        <f t="shared" si="4"/>
        <v>53189.248700000026</v>
      </c>
      <c r="M48" s="38">
        <v>351.91199999999998</v>
      </c>
      <c r="N48" s="1">
        <f t="shared" si="5"/>
        <v>1953119.0588328317</v>
      </c>
      <c r="O48" s="35">
        <f t="shared" si="6"/>
        <v>4.1628369703991135E-2</v>
      </c>
      <c r="P48" s="17" t="str">
        <f t="shared" si="8"/>
        <v>Northeastern Unemployment Rate</v>
      </c>
      <c r="Q48" s="66">
        <f t="shared" si="9"/>
        <v>-1.8748786379035987</v>
      </c>
    </row>
    <row r="49" spans="1:33" x14ac:dyDescent="0.2">
      <c r="A49" s="52">
        <v>37572</v>
      </c>
      <c r="B49" s="53">
        <v>51516609</v>
      </c>
      <c r="C49" s="29">
        <v>627.70000000000005</v>
      </c>
      <c r="D49" s="29">
        <v>0</v>
      </c>
      <c r="E49" s="53">
        <v>30</v>
      </c>
      <c r="F49" s="53">
        <v>1</v>
      </c>
      <c r="G49" s="53">
        <v>0</v>
      </c>
      <c r="H49" s="64">
        <v>7.4</v>
      </c>
      <c r="I49" s="53">
        <v>255.1</v>
      </c>
      <c r="J49" s="53">
        <f t="shared" si="2"/>
        <v>52237589.432831764</v>
      </c>
      <c r="K49" s="6">
        <v>124.90138710936897</v>
      </c>
      <c r="L49" s="1">
        <f t="shared" si="4"/>
        <v>53209.165400000027</v>
      </c>
      <c r="M49" s="38">
        <v>336.24</v>
      </c>
      <c r="N49" s="1">
        <f t="shared" si="5"/>
        <v>720980.43283176422</v>
      </c>
      <c r="O49" s="35">
        <f t="shared" si="6"/>
        <v>1.3995106565181032E-2</v>
      </c>
      <c r="P49" s="17" t="str">
        <f t="shared" si="8"/>
        <v>Constant</v>
      </c>
      <c r="Q49" s="66">
        <f>S19</f>
        <v>1.4174367432124644</v>
      </c>
    </row>
    <row r="50" spans="1:33" x14ac:dyDescent="0.2">
      <c r="A50" s="52">
        <v>37605</v>
      </c>
      <c r="B50" s="53">
        <v>57947130</v>
      </c>
      <c r="C50" s="29">
        <v>771.5</v>
      </c>
      <c r="D50" s="29">
        <v>0</v>
      </c>
      <c r="E50" s="53">
        <v>31</v>
      </c>
      <c r="F50" s="53">
        <v>0</v>
      </c>
      <c r="G50" s="53">
        <v>0</v>
      </c>
      <c r="H50" s="64">
        <v>7.6</v>
      </c>
      <c r="I50" s="53">
        <v>253.7</v>
      </c>
      <c r="J50" s="53">
        <f t="shared" si="2"/>
        <v>58790415.350249305</v>
      </c>
      <c r="K50" s="6">
        <v>125.21955333251999</v>
      </c>
      <c r="L50" s="1">
        <f t="shared" si="4"/>
        <v>53229.082100000029</v>
      </c>
      <c r="M50" s="38">
        <v>319.92</v>
      </c>
      <c r="N50" s="1">
        <f t="shared" si="5"/>
        <v>843285.35024930537</v>
      </c>
      <c r="O50" s="35">
        <f t="shared" si="6"/>
        <v>1.4552668100202813E-2</v>
      </c>
      <c r="P50"/>
      <c r="Q50"/>
    </row>
    <row r="51" spans="1:33" x14ac:dyDescent="0.2">
      <c r="A51" s="52">
        <v>37622</v>
      </c>
      <c r="B51" s="53">
        <v>65599527</v>
      </c>
      <c r="C51" s="29">
        <v>1040.4000000000001</v>
      </c>
      <c r="D51" s="29">
        <v>0</v>
      </c>
      <c r="E51" s="53">
        <v>31</v>
      </c>
      <c r="F51" s="53">
        <v>0</v>
      </c>
      <c r="G51" s="53">
        <v>0</v>
      </c>
      <c r="H51" s="64">
        <v>7.9</v>
      </c>
      <c r="I51" s="53">
        <v>250.3</v>
      </c>
      <c r="J51" s="53">
        <f t="shared" si="2"/>
        <v>65393278.434068777</v>
      </c>
      <c r="K51" s="6">
        <v>125.36471370384297</v>
      </c>
      <c r="L51" s="1">
        <f t="shared" si="4"/>
        <v>53248.99880000003</v>
      </c>
      <c r="M51" s="38">
        <v>351.91199999999998</v>
      </c>
      <c r="N51" s="1">
        <f t="shared" si="5"/>
        <v>-206248.56593122333</v>
      </c>
      <c r="O51" s="35">
        <f t="shared" si="6"/>
        <v>3.1440556870360259E-3</v>
      </c>
      <c r="P51" s="21"/>
      <c r="AB51" s="22"/>
      <c r="AC51" s="22"/>
      <c r="AD51" s="22"/>
    </row>
    <row r="52" spans="1:33" x14ac:dyDescent="0.2">
      <c r="A52" s="52">
        <v>37653</v>
      </c>
      <c r="B52" s="53">
        <v>58805484</v>
      </c>
      <c r="C52" s="29">
        <v>908.9</v>
      </c>
      <c r="D52" s="29">
        <v>0</v>
      </c>
      <c r="E52" s="53">
        <v>28</v>
      </c>
      <c r="F52" s="53">
        <v>0</v>
      </c>
      <c r="G52" s="53">
        <v>0</v>
      </c>
      <c r="H52" s="64">
        <v>8.6</v>
      </c>
      <c r="I52" s="53">
        <v>248.8</v>
      </c>
      <c r="J52" s="53">
        <f t="shared" si="2"/>
        <v>58549490.895221107</v>
      </c>
      <c r="K52" s="6">
        <v>125.51004235186747</v>
      </c>
      <c r="L52" s="1">
        <f t="shared" si="4"/>
        <v>53268.915500000032</v>
      </c>
      <c r="M52" s="38">
        <v>319.87200000000001</v>
      </c>
      <c r="N52" s="1">
        <f t="shared" si="5"/>
        <v>-255993.10477889329</v>
      </c>
      <c r="O52" s="35">
        <f t="shared" si="6"/>
        <v>4.3532182267030277E-3</v>
      </c>
      <c r="P52" s="21"/>
    </row>
    <row r="53" spans="1:33" x14ac:dyDescent="0.2">
      <c r="A53" s="52">
        <v>37681</v>
      </c>
      <c r="B53" s="53">
        <v>56511633</v>
      </c>
      <c r="C53" s="29">
        <v>732.2</v>
      </c>
      <c r="D53" s="29">
        <v>0</v>
      </c>
      <c r="E53" s="53">
        <v>31</v>
      </c>
      <c r="F53" s="53">
        <v>1</v>
      </c>
      <c r="G53" s="53">
        <v>0</v>
      </c>
      <c r="H53" s="64">
        <v>8.4</v>
      </c>
      <c r="I53" s="53">
        <v>249.9</v>
      </c>
      <c r="J53" s="53">
        <f t="shared" si="2"/>
        <v>55859083.199591637</v>
      </c>
      <c r="K53" s="6">
        <v>125.65553947166775</v>
      </c>
      <c r="L53" s="1">
        <f t="shared" si="4"/>
        <v>53288.832200000033</v>
      </c>
      <c r="M53" s="38">
        <v>336.28800000000001</v>
      </c>
      <c r="N53" s="1">
        <f t="shared" si="5"/>
        <v>-652549.80040836334</v>
      </c>
      <c r="O53" s="35">
        <f t="shared" si="6"/>
        <v>1.1547176497418918E-2</v>
      </c>
      <c r="P53" s="21"/>
    </row>
    <row r="54" spans="1:33" x14ac:dyDescent="0.2">
      <c r="A54" s="52">
        <v>37712</v>
      </c>
      <c r="B54" s="53">
        <v>48410985</v>
      </c>
      <c r="C54" s="29">
        <v>513.9</v>
      </c>
      <c r="D54" s="29">
        <v>0</v>
      </c>
      <c r="E54" s="53">
        <v>30</v>
      </c>
      <c r="F54" s="53">
        <v>1</v>
      </c>
      <c r="G54" s="53">
        <v>0</v>
      </c>
      <c r="H54" s="64">
        <v>8.1999999999999993</v>
      </c>
      <c r="I54" s="53">
        <v>251.4</v>
      </c>
      <c r="J54" s="53">
        <f t="shared" si="2"/>
        <v>49324377.828285903</v>
      </c>
      <c r="K54" s="6">
        <v>125.80120525854417</v>
      </c>
      <c r="L54" s="1">
        <f t="shared" si="4"/>
        <v>53308.748900000035</v>
      </c>
      <c r="M54" s="38">
        <v>336.24</v>
      </c>
      <c r="N54" s="1">
        <f t="shared" si="5"/>
        <v>913392.82828590274</v>
      </c>
      <c r="O54" s="35">
        <f t="shared" si="6"/>
        <v>1.8867470436428897E-2</v>
      </c>
      <c r="P54" s="21"/>
    </row>
    <row r="55" spans="1:33" x14ac:dyDescent="0.2">
      <c r="A55" s="52">
        <v>37742</v>
      </c>
      <c r="B55" s="53">
        <v>42511005</v>
      </c>
      <c r="C55" s="29">
        <v>208.3</v>
      </c>
      <c r="D55" s="29">
        <v>0.7</v>
      </c>
      <c r="E55" s="53">
        <v>31</v>
      </c>
      <c r="F55" s="53">
        <v>1</v>
      </c>
      <c r="G55" s="53">
        <v>0</v>
      </c>
      <c r="H55" s="64">
        <v>8</v>
      </c>
      <c r="I55" s="53">
        <v>255.5</v>
      </c>
      <c r="J55" s="53">
        <f t="shared" si="2"/>
        <v>43028626.537631378</v>
      </c>
      <c r="K55" s="6">
        <v>125.94703990802351</v>
      </c>
      <c r="L55" s="1">
        <f t="shared" si="4"/>
        <v>53328.665600000037</v>
      </c>
      <c r="M55" s="38">
        <v>336.28800000000001</v>
      </c>
      <c r="N55" s="1">
        <f t="shared" si="5"/>
        <v>517621.53763137758</v>
      </c>
      <c r="O55" s="35">
        <f t="shared" si="6"/>
        <v>1.2176177383512283E-2</v>
      </c>
      <c r="P55" s="21"/>
    </row>
    <row r="56" spans="1:33" x14ac:dyDescent="0.2">
      <c r="A56" s="52">
        <v>37773</v>
      </c>
      <c r="B56" s="53">
        <v>41668530</v>
      </c>
      <c r="C56" s="29">
        <v>64.5</v>
      </c>
      <c r="D56" s="29">
        <v>27.4</v>
      </c>
      <c r="E56" s="53">
        <v>30</v>
      </c>
      <c r="F56" s="53">
        <v>0</v>
      </c>
      <c r="G56" s="53">
        <v>0</v>
      </c>
      <c r="H56" s="64">
        <v>7.8</v>
      </c>
      <c r="I56" s="53">
        <v>258.10000000000002</v>
      </c>
      <c r="J56" s="53">
        <f t="shared" si="2"/>
        <v>42389354.832369417</v>
      </c>
      <c r="K56" s="6">
        <v>126.0930436158592</v>
      </c>
      <c r="L56" s="1">
        <f t="shared" si="4"/>
        <v>53348.582300000038</v>
      </c>
      <c r="M56" s="38">
        <v>336.24</v>
      </c>
      <c r="N56" s="1">
        <f t="shared" si="5"/>
        <v>720824.83236941695</v>
      </c>
      <c r="O56" s="35">
        <f t="shared" si="6"/>
        <v>1.7299022364585862E-2</v>
      </c>
    </row>
    <row r="57" spans="1:33" x14ac:dyDescent="0.2">
      <c r="A57" s="52">
        <v>37803</v>
      </c>
      <c r="B57" s="53">
        <v>44043534</v>
      </c>
      <c r="C57" s="29">
        <v>16.100000000000001</v>
      </c>
      <c r="D57" s="29">
        <v>37.4</v>
      </c>
      <c r="E57" s="53">
        <v>31</v>
      </c>
      <c r="F57" s="53">
        <v>0</v>
      </c>
      <c r="G57" s="53">
        <v>0</v>
      </c>
      <c r="H57" s="64">
        <v>8.1999999999999993</v>
      </c>
      <c r="I57" s="53">
        <v>259.2</v>
      </c>
      <c r="J57" s="53">
        <f t="shared" si="2"/>
        <v>43134385.82481727</v>
      </c>
      <c r="K57" s="6">
        <v>126.23921657803162</v>
      </c>
      <c r="L57" s="1">
        <f t="shared" si="4"/>
        <v>53368.49900000004</v>
      </c>
      <c r="M57" s="38">
        <v>351.91199999999998</v>
      </c>
      <c r="N57" s="1">
        <f t="shared" si="5"/>
        <v>-909148.17518272996</v>
      </c>
      <c r="O57" s="35">
        <f t="shared" si="6"/>
        <v>2.0642035109687838E-2</v>
      </c>
    </row>
    <row r="58" spans="1:33" x14ac:dyDescent="0.2">
      <c r="A58" s="52">
        <v>37834</v>
      </c>
      <c r="B58" s="53">
        <v>42064341</v>
      </c>
      <c r="C58" s="29">
        <v>32.9</v>
      </c>
      <c r="D58" s="29">
        <v>60.7</v>
      </c>
      <c r="E58" s="53">
        <v>31</v>
      </c>
      <c r="F58" s="53">
        <v>0</v>
      </c>
      <c r="G58" s="53">
        <v>1</v>
      </c>
      <c r="H58" s="64">
        <v>8.5</v>
      </c>
      <c r="I58" s="53">
        <v>258.2</v>
      </c>
      <c r="J58" s="53">
        <f t="shared" si="2"/>
        <v>43213508.375915594</v>
      </c>
      <c r="K58" s="6">
        <v>126.38555899074831</v>
      </c>
      <c r="L58" s="1">
        <f t="shared" si="4"/>
        <v>53388.415700000041</v>
      </c>
      <c r="M58" s="38">
        <v>319.92</v>
      </c>
      <c r="N58" s="1">
        <f t="shared" si="5"/>
        <v>1149167.3759155944</v>
      </c>
      <c r="O58" s="35">
        <f t="shared" si="6"/>
        <v>2.7319276817283182E-2</v>
      </c>
    </row>
    <row r="59" spans="1:33" x14ac:dyDescent="0.2">
      <c r="A59" s="52">
        <v>37865</v>
      </c>
      <c r="B59" s="53">
        <v>41000127</v>
      </c>
      <c r="C59" s="29">
        <v>111.8</v>
      </c>
      <c r="D59" s="29">
        <v>9.1</v>
      </c>
      <c r="E59" s="53">
        <v>30</v>
      </c>
      <c r="F59" s="53">
        <v>1</v>
      </c>
      <c r="G59" s="53">
        <v>0</v>
      </c>
      <c r="H59" s="64">
        <v>8.6999999999999993</v>
      </c>
      <c r="I59" s="53">
        <v>254.5</v>
      </c>
      <c r="J59" s="53">
        <f t="shared" si="2"/>
        <v>40078049.66039744</v>
      </c>
      <c r="K59" s="6">
        <v>126.53207105044429</v>
      </c>
      <c r="L59" s="1">
        <f t="shared" si="4"/>
        <v>53408.332400000043</v>
      </c>
      <c r="M59" s="38">
        <v>336.24</v>
      </c>
      <c r="N59" s="1">
        <f t="shared" si="5"/>
        <v>-922077.3396025598</v>
      </c>
      <c r="O59" s="35">
        <f t="shared" si="6"/>
        <v>2.2489621546844474E-2</v>
      </c>
    </row>
    <row r="60" spans="1:33" x14ac:dyDescent="0.2">
      <c r="A60" s="52">
        <v>37895</v>
      </c>
      <c r="B60" s="53">
        <v>46214952</v>
      </c>
      <c r="C60" s="29">
        <v>376.6</v>
      </c>
      <c r="D60" s="29">
        <v>0.4</v>
      </c>
      <c r="E60" s="53">
        <v>31</v>
      </c>
      <c r="F60" s="53">
        <v>1</v>
      </c>
      <c r="G60" s="53">
        <v>0</v>
      </c>
      <c r="H60" s="64">
        <v>8.1999999999999993</v>
      </c>
      <c r="I60" s="53">
        <v>255.2</v>
      </c>
      <c r="J60" s="53">
        <f t="shared" si="2"/>
        <v>47134990.501981884</v>
      </c>
      <c r="K60" s="6">
        <v>126.67875295378228</v>
      </c>
      <c r="L60" s="1">
        <f t="shared" ref="L60:L91" si="10">L59+19.9167</f>
        <v>53428.249100000045</v>
      </c>
      <c r="M60" s="38">
        <v>351.91199999999998</v>
      </c>
      <c r="N60" s="1">
        <f t="shared" si="5"/>
        <v>920038.50198188424</v>
      </c>
      <c r="O60" s="35">
        <f t="shared" si="6"/>
        <v>1.9907810398285909E-2</v>
      </c>
    </row>
    <row r="61" spans="1:33" x14ac:dyDescent="0.2">
      <c r="A61" s="52">
        <v>37926</v>
      </c>
      <c r="B61" s="53">
        <v>49785980</v>
      </c>
      <c r="C61" s="29">
        <v>523.70000000000005</v>
      </c>
      <c r="D61" s="29">
        <v>0</v>
      </c>
      <c r="E61" s="53">
        <v>30</v>
      </c>
      <c r="F61" s="53">
        <v>1</v>
      </c>
      <c r="G61" s="53">
        <v>0</v>
      </c>
      <c r="H61" s="64">
        <v>7.6</v>
      </c>
      <c r="I61" s="53">
        <v>254.1</v>
      </c>
      <c r="J61" s="53">
        <f t="shared" si="2"/>
        <v>49643343.396803699</v>
      </c>
      <c r="K61" s="6">
        <v>126.82560489765298</v>
      </c>
      <c r="L61" s="1">
        <f t="shared" si="10"/>
        <v>53448.165800000046</v>
      </c>
      <c r="M61" s="38">
        <v>319.68</v>
      </c>
      <c r="N61" s="1">
        <f t="shared" si="5"/>
        <v>-142636.60319630057</v>
      </c>
      <c r="O61" s="35">
        <f t="shared" si="6"/>
        <v>2.8649953901941985E-3</v>
      </c>
    </row>
    <row r="62" spans="1:33" x14ac:dyDescent="0.2">
      <c r="A62" s="52">
        <v>37956</v>
      </c>
      <c r="B62" s="53">
        <v>58014310</v>
      </c>
      <c r="C62" s="29">
        <v>762.2</v>
      </c>
      <c r="D62" s="29">
        <v>0</v>
      </c>
      <c r="E62" s="53">
        <v>31</v>
      </c>
      <c r="F62" s="53">
        <v>0</v>
      </c>
      <c r="G62" s="53">
        <v>0</v>
      </c>
      <c r="H62" s="64">
        <v>7.2</v>
      </c>
      <c r="I62" s="53">
        <v>255.8</v>
      </c>
      <c r="J62" s="53">
        <f t="shared" si="2"/>
        <v>58612005.460532501</v>
      </c>
      <c r="K62" s="6">
        <v>126.97262707917527</v>
      </c>
      <c r="L62" s="1">
        <f t="shared" si="10"/>
        <v>53468.082500000048</v>
      </c>
      <c r="M62" s="38">
        <v>336.28800000000001</v>
      </c>
      <c r="N62" s="1">
        <f t="shared" si="5"/>
        <v>597695.46053250134</v>
      </c>
      <c r="O62" s="35">
        <f t="shared" si="6"/>
        <v>1.0302552258787553E-2</v>
      </c>
      <c r="P62" s="24"/>
      <c r="Q62" s="24"/>
      <c r="R62" s="24"/>
      <c r="S62" s="24"/>
      <c r="T62" s="24"/>
      <c r="U62" s="24"/>
      <c r="V62" s="24"/>
      <c r="Y62" s="24"/>
      <c r="Z62" s="24"/>
      <c r="AA62" s="24"/>
      <c r="AB62" s="25"/>
      <c r="AC62" s="25"/>
      <c r="AD62" s="25"/>
      <c r="AE62" s="25"/>
      <c r="AF62" s="25"/>
      <c r="AG62" s="25"/>
    </row>
    <row r="63" spans="1:33" x14ac:dyDescent="0.2">
      <c r="A63" s="52">
        <v>37987</v>
      </c>
      <c r="B63" s="53">
        <v>69057020</v>
      </c>
      <c r="C63" s="29">
        <v>1121.5999999999999</v>
      </c>
      <c r="D63" s="29">
        <v>0</v>
      </c>
      <c r="E63" s="53">
        <v>31</v>
      </c>
      <c r="F63" s="53">
        <v>0</v>
      </c>
      <c r="G63" s="53">
        <v>0</v>
      </c>
      <c r="H63" s="64">
        <v>7.5</v>
      </c>
      <c r="I63" s="53">
        <v>254.7</v>
      </c>
      <c r="J63" s="53">
        <f t="shared" si="2"/>
        <v>67450048.606664211</v>
      </c>
      <c r="K63" s="6">
        <v>127.24450952057283</v>
      </c>
      <c r="L63" s="1">
        <f>L62+19.9167</f>
        <v>53487.999200000049</v>
      </c>
      <c r="M63" s="38">
        <v>336.28800000000001</v>
      </c>
      <c r="N63" s="1">
        <f t="shared" si="5"/>
        <v>-1606971.3933357894</v>
      </c>
      <c r="O63" s="35">
        <f t="shared" si="6"/>
        <v>2.3270210520752118E-2</v>
      </c>
      <c r="P63" s="24"/>
      <c r="Q63" s="24"/>
      <c r="R63" s="24"/>
      <c r="S63" s="24"/>
      <c r="T63" s="24"/>
      <c r="U63" s="24"/>
      <c r="V63" s="24"/>
      <c r="Y63" s="24"/>
      <c r="Z63" s="24"/>
      <c r="AA63" s="24"/>
      <c r="AB63" s="26"/>
      <c r="AC63" s="26"/>
      <c r="AD63" s="26"/>
      <c r="AE63" s="25"/>
      <c r="AF63" s="25"/>
      <c r="AG63" s="25"/>
    </row>
    <row r="64" spans="1:33" x14ac:dyDescent="0.2">
      <c r="A64" s="52">
        <v>38018</v>
      </c>
      <c r="B64" s="53">
        <v>59735330</v>
      </c>
      <c r="C64" s="29">
        <v>780.5</v>
      </c>
      <c r="D64" s="29">
        <v>0</v>
      </c>
      <c r="E64" s="53">
        <v>29</v>
      </c>
      <c r="F64" s="53">
        <v>0</v>
      </c>
      <c r="G64" s="53">
        <v>0</v>
      </c>
      <c r="H64" s="64">
        <v>7.7</v>
      </c>
      <c r="I64" s="53">
        <v>254.4</v>
      </c>
      <c r="J64" s="53">
        <f t="shared" si="2"/>
        <v>56662384.566932507</v>
      </c>
      <c r="K64" s="6">
        <v>127.5169741351808</v>
      </c>
      <c r="L64" s="1">
        <f t="shared" si="10"/>
        <v>53507.915900000051</v>
      </c>
      <c r="M64" s="38">
        <v>320.16000000000003</v>
      </c>
      <c r="N64" s="1">
        <f t="shared" si="5"/>
        <v>-3072945.4330674931</v>
      </c>
      <c r="O64" s="35">
        <f t="shared" si="6"/>
        <v>5.1442679450628179E-2</v>
      </c>
      <c r="P64" s="24"/>
      <c r="Q64" s="24"/>
      <c r="R64" s="24"/>
      <c r="S64" s="24"/>
      <c r="T64" s="24"/>
      <c r="U64" s="24"/>
      <c r="V64" s="24"/>
      <c r="Y64" s="24"/>
      <c r="Z64" s="24"/>
      <c r="AA64" s="24"/>
      <c r="AB64" s="25"/>
      <c r="AC64" s="25"/>
      <c r="AD64" s="25"/>
      <c r="AE64" s="25"/>
      <c r="AF64" s="25"/>
      <c r="AG64" s="25"/>
    </row>
    <row r="65" spans="1:33" x14ac:dyDescent="0.2">
      <c r="A65" s="52">
        <v>38047</v>
      </c>
      <c r="B65" s="53">
        <v>54100800</v>
      </c>
      <c r="C65" s="29">
        <v>647.1</v>
      </c>
      <c r="D65" s="29">
        <v>0</v>
      </c>
      <c r="E65" s="53">
        <v>31</v>
      </c>
      <c r="F65" s="53">
        <v>1</v>
      </c>
      <c r="G65" s="53">
        <v>0</v>
      </c>
      <c r="H65" s="64">
        <v>8.1999999999999993</v>
      </c>
      <c r="I65" s="53">
        <v>252.8</v>
      </c>
      <c r="J65" s="53">
        <f t="shared" si="2"/>
        <v>53782914.320887715</v>
      </c>
      <c r="K65" s="6">
        <v>127.79002216958813</v>
      </c>
      <c r="L65" s="1">
        <f t="shared" si="10"/>
        <v>53527.832600000052</v>
      </c>
      <c r="M65" s="38">
        <v>368.28</v>
      </c>
      <c r="N65" s="1">
        <f t="shared" si="5"/>
        <v>-317885.67911228538</v>
      </c>
      <c r="O65" s="35">
        <f t="shared" si="6"/>
        <v>5.8758036685647051E-3</v>
      </c>
      <c r="P65" s="13"/>
      <c r="Q65" s="13"/>
      <c r="R65" s="24"/>
      <c r="S65" s="24"/>
      <c r="T65" s="24"/>
      <c r="U65" s="24"/>
      <c r="V65" s="24"/>
      <c r="Y65" s="24"/>
      <c r="Z65" s="24"/>
      <c r="AA65" s="24"/>
      <c r="AB65" s="25"/>
      <c r="AC65" s="25"/>
      <c r="AD65" s="25"/>
      <c r="AE65" s="25"/>
      <c r="AF65" s="25"/>
      <c r="AG65" s="25"/>
    </row>
    <row r="66" spans="1:33" x14ac:dyDescent="0.2">
      <c r="A66" s="52">
        <v>38078</v>
      </c>
      <c r="B66" s="53">
        <v>46868660</v>
      </c>
      <c r="C66" s="29">
        <v>454.7</v>
      </c>
      <c r="D66" s="29">
        <v>0</v>
      </c>
      <c r="E66" s="53">
        <v>30</v>
      </c>
      <c r="F66" s="53">
        <v>1</v>
      </c>
      <c r="G66" s="53">
        <v>0</v>
      </c>
      <c r="H66" s="64">
        <v>8.6</v>
      </c>
      <c r="I66" s="53">
        <v>251.6</v>
      </c>
      <c r="J66" s="53">
        <f t="shared" si="2"/>
        <v>47810966.344871335</v>
      </c>
      <c r="K66" s="6">
        <v>128.06365487305305</v>
      </c>
      <c r="L66" s="1">
        <f t="shared" si="10"/>
        <v>53547.749300000054</v>
      </c>
      <c r="M66" s="38">
        <v>336.24</v>
      </c>
      <c r="N66" s="1">
        <f t="shared" si="5"/>
        <v>942306.34487133473</v>
      </c>
      <c r="O66" s="35">
        <f t="shared" si="6"/>
        <v>2.0105254659965415E-2</v>
      </c>
      <c r="P66" s="7"/>
      <c r="Q66" s="7"/>
      <c r="R66" s="24"/>
      <c r="S66" s="24"/>
      <c r="T66" s="24"/>
      <c r="U66" s="24"/>
      <c r="V66" s="24"/>
      <c r="Y66" s="24"/>
      <c r="Z66" s="24"/>
      <c r="AA66" s="24"/>
      <c r="AB66" s="25"/>
      <c r="AC66" s="25"/>
      <c r="AD66" s="25"/>
      <c r="AE66" s="25"/>
      <c r="AF66" s="25"/>
      <c r="AG66" s="25"/>
    </row>
    <row r="67" spans="1:33" x14ac:dyDescent="0.2">
      <c r="A67" s="52">
        <v>38108</v>
      </c>
      <c r="B67" s="53">
        <v>43342330</v>
      </c>
      <c r="C67" s="29">
        <v>257.5</v>
      </c>
      <c r="D67" s="29">
        <v>4.0999999999999996</v>
      </c>
      <c r="E67" s="53">
        <v>31</v>
      </c>
      <c r="F67" s="53">
        <v>1</v>
      </c>
      <c r="G67" s="53">
        <v>0</v>
      </c>
      <c r="H67" s="64">
        <v>8.6999999999999993</v>
      </c>
      <c r="I67" s="53">
        <v>252.5</v>
      </c>
      <c r="J67" s="53">
        <f t="shared" si="2"/>
        <v>44433834.608500376</v>
      </c>
      <c r="K67" s="6">
        <v>128.33787349750878</v>
      </c>
      <c r="L67" s="1">
        <f t="shared" si="10"/>
        <v>53567.666000000056</v>
      </c>
      <c r="M67" s="38">
        <v>319.92</v>
      </c>
      <c r="N67" s="1">
        <f t="shared" ref="N67:N98" si="11">J67-B67</f>
        <v>1091504.6085003763</v>
      </c>
      <c r="O67" s="35">
        <f t="shared" ref="O67:O98" si="12">ABS(N67/B67)</f>
        <v>2.5183339439766535E-2</v>
      </c>
      <c r="P67" s="7"/>
      <c r="Q67" s="7"/>
      <c r="R67" s="24"/>
      <c r="S67" s="24"/>
      <c r="T67" s="24"/>
      <c r="U67" s="24"/>
      <c r="V67" s="24"/>
      <c r="Y67" s="24"/>
      <c r="Z67" s="24"/>
      <c r="AA67" s="24"/>
      <c r="AB67" s="25"/>
      <c r="AC67" s="25"/>
      <c r="AD67" s="25"/>
      <c r="AE67" s="25"/>
      <c r="AF67" s="25"/>
      <c r="AG67" s="25"/>
    </row>
    <row r="68" spans="1:33" x14ac:dyDescent="0.2">
      <c r="A68" s="52">
        <v>38139</v>
      </c>
      <c r="B68" s="53">
        <v>41064550</v>
      </c>
      <c r="C68" s="29">
        <v>104</v>
      </c>
      <c r="D68" s="29">
        <v>7.7</v>
      </c>
      <c r="E68" s="53">
        <v>30</v>
      </c>
      <c r="F68" s="53">
        <v>0</v>
      </c>
      <c r="G68" s="53">
        <v>0</v>
      </c>
      <c r="H68" s="64">
        <v>8.5</v>
      </c>
      <c r="I68" s="53">
        <v>257.2</v>
      </c>
      <c r="J68" s="53">
        <f t="shared" ref="J68:J131" si="13">$Q$19+C68*$Q$20+D68*$Q$21+E68*$Q$22+F68*$Q$23+G68*$Q$24+H68*$Q$25</f>
        <v>41653962.422869466</v>
      </c>
      <c r="K68" s="6">
        <v>128.61267929756926</v>
      </c>
      <c r="L68" s="1">
        <f t="shared" si="10"/>
        <v>53587.582700000057</v>
      </c>
      <c r="M68" s="38">
        <v>352.08</v>
      </c>
      <c r="N68" s="1">
        <f t="shared" si="11"/>
        <v>589412.42286946625</v>
      </c>
      <c r="O68" s="35">
        <f t="shared" si="12"/>
        <v>1.4353315033757006E-2</v>
      </c>
      <c r="P68" s="7"/>
      <c r="Q68" s="7"/>
      <c r="R68" s="24"/>
      <c r="S68" s="24"/>
      <c r="T68" s="24"/>
      <c r="U68" s="24"/>
      <c r="V68" s="24"/>
      <c r="Y68" s="24"/>
      <c r="Z68" s="24"/>
      <c r="AA68" s="24"/>
      <c r="AB68" s="25"/>
      <c r="AC68" s="25"/>
      <c r="AD68" s="25"/>
      <c r="AE68" s="25"/>
      <c r="AF68" s="25"/>
      <c r="AG68" s="25"/>
    </row>
    <row r="69" spans="1:33" x14ac:dyDescent="0.2">
      <c r="A69" s="52">
        <v>38169</v>
      </c>
      <c r="B69" s="53">
        <v>43951680</v>
      </c>
      <c r="C69" s="29">
        <v>25.1</v>
      </c>
      <c r="D69" s="29">
        <v>41</v>
      </c>
      <c r="E69" s="53">
        <v>31</v>
      </c>
      <c r="F69" s="53">
        <v>0</v>
      </c>
      <c r="G69" s="53">
        <v>0</v>
      </c>
      <c r="H69" s="64">
        <v>8.1</v>
      </c>
      <c r="I69" s="53">
        <v>262</v>
      </c>
      <c r="J69" s="53">
        <f t="shared" si="13"/>
        <v>43665753.798863694</v>
      </c>
      <c r="K69" s="6">
        <v>128.88807353053494</v>
      </c>
      <c r="L69" s="1">
        <f t="shared" si="10"/>
        <v>53607.499400000059</v>
      </c>
      <c r="M69" s="38">
        <v>336.28800000000001</v>
      </c>
      <c r="N69" s="1">
        <f t="shared" si="11"/>
        <v>-285926.20113630593</v>
      </c>
      <c r="O69" s="35">
        <f t="shared" si="12"/>
        <v>6.5054669386086245E-3</v>
      </c>
      <c r="P69" s="7"/>
      <c r="Q69" s="7"/>
      <c r="R69" s="24"/>
      <c r="S69" s="24"/>
      <c r="T69" s="24"/>
      <c r="U69" s="24"/>
      <c r="V69" s="24"/>
      <c r="Y69" s="24"/>
      <c r="Z69" s="24"/>
      <c r="AA69" s="24"/>
      <c r="AB69" s="25"/>
      <c r="AC69" s="25"/>
      <c r="AD69" s="25"/>
      <c r="AE69" s="25"/>
      <c r="AF69" s="25"/>
      <c r="AG69" s="25"/>
    </row>
    <row r="70" spans="1:33" x14ac:dyDescent="0.2">
      <c r="A70" s="52">
        <v>38200</v>
      </c>
      <c r="B70" s="53">
        <v>42933280</v>
      </c>
      <c r="C70" s="29">
        <v>75.599999999999994</v>
      </c>
      <c r="D70" s="29">
        <v>20.5</v>
      </c>
      <c r="E70" s="53">
        <v>31</v>
      </c>
      <c r="F70" s="53">
        <v>0</v>
      </c>
      <c r="G70" s="53">
        <v>0</v>
      </c>
      <c r="H70" s="64">
        <v>8.3000000000000007</v>
      </c>
      <c r="I70" s="53">
        <v>263.2</v>
      </c>
      <c r="J70" s="53">
        <f t="shared" si="13"/>
        <v>43200307.551204994</v>
      </c>
      <c r="K70" s="6">
        <v>129.16405745639844</v>
      </c>
      <c r="L70" s="1">
        <f t="shared" si="10"/>
        <v>53627.41610000006</v>
      </c>
      <c r="M70" s="38">
        <v>336.28800000000001</v>
      </c>
      <c r="N70" s="1">
        <f t="shared" si="11"/>
        <v>267027.55120499432</v>
      </c>
      <c r="O70" s="35">
        <f t="shared" si="12"/>
        <v>6.2195935461952668E-3</v>
      </c>
      <c r="P70" s="7"/>
      <c r="Q70" s="7"/>
      <c r="R70" s="24"/>
      <c r="S70" s="24"/>
      <c r="T70" s="24"/>
      <c r="U70" s="24"/>
      <c r="V70" s="24"/>
      <c r="Y70" s="24"/>
      <c r="Z70" s="24"/>
      <c r="AA70" s="24"/>
      <c r="AB70" s="25"/>
      <c r="AC70" s="25"/>
      <c r="AD70" s="25"/>
      <c r="AE70" s="25"/>
      <c r="AF70" s="25"/>
      <c r="AG70" s="25"/>
    </row>
    <row r="71" spans="1:33" x14ac:dyDescent="0.2">
      <c r="A71" s="52">
        <v>38231</v>
      </c>
      <c r="B71" s="53">
        <v>42265810</v>
      </c>
      <c r="C71" s="29">
        <v>103.5</v>
      </c>
      <c r="D71" s="29">
        <v>19.8</v>
      </c>
      <c r="E71" s="53">
        <v>30</v>
      </c>
      <c r="F71" s="53">
        <v>1</v>
      </c>
      <c r="G71" s="53">
        <v>0</v>
      </c>
      <c r="H71" s="64">
        <v>8.1999999999999993</v>
      </c>
      <c r="I71" s="53">
        <v>259.60000000000002</v>
      </c>
      <c r="J71" s="53">
        <f t="shared" si="13"/>
        <v>40817721.629711561</v>
      </c>
      <c r="K71" s="6">
        <v>129.44063233785036</v>
      </c>
      <c r="L71" s="1">
        <f t="shared" si="10"/>
        <v>53647.332800000062</v>
      </c>
      <c r="M71" s="38">
        <v>336.24</v>
      </c>
      <c r="N71" s="1">
        <f t="shared" si="11"/>
        <v>-1448088.3702884391</v>
      </c>
      <c r="O71" s="35">
        <f t="shared" si="12"/>
        <v>3.4261460274591662E-2</v>
      </c>
      <c r="P71" s="24"/>
      <c r="Q71" s="24"/>
      <c r="R71" s="24"/>
      <c r="S71" s="24"/>
      <c r="T71" s="24"/>
      <c r="U71" s="24"/>
      <c r="V71" s="24"/>
      <c r="Y71" s="24"/>
      <c r="Z71" s="24"/>
      <c r="AA71" s="24"/>
      <c r="AB71" s="25"/>
      <c r="AC71" s="25"/>
      <c r="AD71" s="25"/>
      <c r="AE71" s="25"/>
      <c r="AF71" s="25"/>
      <c r="AG71" s="25"/>
    </row>
    <row r="72" spans="1:33" x14ac:dyDescent="0.2">
      <c r="A72" s="52">
        <v>38261</v>
      </c>
      <c r="B72" s="53">
        <v>45470380</v>
      </c>
      <c r="C72" s="29">
        <v>326.3</v>
      </c>
      <c r="D72" s="29">
        <v>0</v>
      </c>
      <c r="E72" s="53">
        <v>31</v>
      </c>
      <c r="F72" s="53">
        <v>1</v>
      </c>
      <c r="G72" s="53">
        <v>0</v>
      </c>
      <c r="H72" s="64">
        <v>7.7</v>
      </c>
      <c r="I72" s="53">
        <v>258.7</v>
      </c>
      <c r="J72" s="53">
        <f t="shared" si="13"/>
        <v>45923860.016582735</v>
      </c>
      <c r="K72" s="6">
        <v>129.71779944028509</v>
      </c>
      <c r="L72" s="1">
        <f t="shared" si="10"/>
        <v>53667.249500000064</v>
      </c>
      <c r="M72" s="38">
        <v>319.92</v>
      </c>
      <c r="N72" s="1">
        <f t="shared" si="11"/>
        <v>453480.01658273488</v>
      </c>
      <c r="O72" s="35">
        <f t="shared" si="12"/>
        <v>9.9730861405322516E-3</v>
      </c>
      <c r="P72" s="24"/>
      <c r="Q72" s="24"/>
      <c r="R72" s="24"/>
      <c r="S72" s="24"/>
      <c r="T72" s="24"/>
      <c r="U72" s="24"/>
      <c r="V72" s="24"/>
      <c r="Y72" s="24"/>
      <c r="Z72" s="24"/>
      <c r="AA72" s="24"/>
      <c r="AB72" s="25"/>
      <c r="AC72" s="25"/>
      <c r="AD72" s="25"/>
      <c r="AE72" s="25"/>
      <c r="AF72" s="25"/>
      <c r="AG72" s="25"/>
    </row>
    <row r="73" spans="1:33" x14ac:dyDescent="0.2">
      <c r="A73" s="52">
        <v>38292</v>
      </c>
      <c r="B73" s="53">
        <v>50304380</v>
      </c>
      <c r="C73" s="29">
        <v>537.20000000000005</v>
      </c>
      <c r="D73" s="29">
        <v>0</v>
      </c>
      <c r="E73" s="53">
        <v>30</v>
      </c>
      <c r="F73" s="53">
        <v>1</v>
      </c>
      <c r="G73" s="53">
        <v>0</v>
      </c>
      <c r="H73" s="64">
        <v>7.4</v>
      </c>
      <c r="I73" s="53">
        <v>257.8</v>
      </c>
      <c r="J73" s="53">
        <f t="shared" si="13"/>
        <v>50002409.370519519</v>
      </c>
      <c r="K73" s="6">
        <v>129.99556003180655</v>
      </c>
      <c r="L73" s="1">
        <f t="shared" si="10"/>
        <v>53687.166200000065</v>
      </c>
      <c r="M73" s="38">
        <v>352.08</v>
      </c>
      <c r="N73" s="1">
        <f t="shared" si="11"/>
        <v>-301970.62948048115</v>
      </c>
      <c r="O73" s="35">
        <f t="shared" si="12"/>
        <v>6.002869521112896E-3</v>
      </c>
      <c r="P73" s="14"/>
      <c r="Q73" s="14"/>
      <c r="R73" s="14"/>
      <c r="S73" s="14"/>
      <c r="T73" s="14"/>
      <c r="U73" s="14"/>
      <c r="V73" s="24"/>
      <c r="Y73" s="24"/>
      <c r="Z73" s="24"/>
      <c r="AA73" s="24"/>
      <c r="AB73" s="25"/>
      <c r="AC73" s="25"/>
      <c r="AD73" s="25"/>
      <c r="AE73" s="25"/>
      <c r="AF73" s="25"/>
      <c r="AG73" s="25"/>
    </row>
    <row r="74" spans="1:33" x14ac:dyDescent="0.2">
      <c r="A74" s="52">
        <v>38322</v>
      </c>
      <c r="B74" s="53">
        <v>62662520</v>
      </c>
      <c r="C74" s="29">
        <v>896.5</v>
      </c>
      <c r="D74" s="29">
        <v>0</v>
      </c>
      <c r="E74" s="53">
        <v>31</v>
      </c>
      <c r="F74" s="53">
        <v>0</v>
      </c>
      <c r="G74" s="53">
        <v>0</v>
      </c>
      <c r="H74" s="64">
        <v>6.9</v>
      </c>
      <c r="I74" s="53">
        <v>260.2</v>
      </c>
      <c r="J74" s="53">
        <f t="shared" si="13"/>
        <v>61967425.262064375</v>
      </c>
      <c r="K74" s="6">
        <v>130.27391538323383</v>
      </c>
      <c r="L74" s="1">
        <f t="shared" si="10"/>
        <v>53707.082900000067</v>
      </c>
      <c r="M74" s="38">
        <v>336.28800000000001</v>
      </c>
      <c r="N74" s="1">
        <f t="shared" si="11"/>
        <v>-695094.73793562502</v>
      </c>
      <c r="O74" s="35">
        <f t="shared" si="12"/>
        <v>1.109267131190423E-2</v>
      </c>
      <c r="P74" s="7"/>
      <c r="Q74" s="7"/>
      <c r="R74" s="7"/>
      <c r="S74" s="7"/>
      <c r="T74" s="7"/>
      <c r="U74" s="7"/>
      <c r="V74" s="24"/>
      <c r="Y74" s="24"/>
      <c r="Z74" s="24"/>
      <c r="AA74" s="24"/>
      <c r="AB74" s="25"/>
      <c r="AC74" s="25"/>
      <c r="AD74" s="25"/>
      <c r="AE74" s="25"/>
      <c r="AF74" s="25"/>
      <c r="AG74" s="25"/>
    </row>
    <row r="75" spans="1:33" x14ac:dyDescent="0.2">
      <c r="A75" s="52">
        <v>38353</v>
      </c>
      <c r="B75" s="53">
        <v>66888914.999999993</v>
      </c>
      <c r="C75" s="29">
        <v>1002.3</v>
      </c>
      <c r="D75" s="29">
        <v>0</v>
      </c>
      <c r="E75" s="53">
        <v>31</v>
      </c>
      <c r="F75" s="53">
        <v>0</v>
      </c>
      <c r="G75" s="53">
        <v>0</v>
      </c>
      <c r="H75" s="64">
        <v>7.3</v>
      </c>
      <c r="I75" s="53">
        <v>257.39999999999998</v>
      </c>
      <c r="J75" s="53">
        <f t="shared" si="13"/>
        <v>64529203.947506383</v>
      </c>
      <c r="K75" s="6">
        <v>130.57405526242641</v>
      </c>
      <c r="L75" s="1">
        <f t="shared" si="10"/>
        <v>53726.999600000068</v>
      </c>
      <c r="M75" s="38">
        <v>319.92</v>
      </c>
      <c r="N75" s="1">
        <f t="shared" si="11"/>
        <v>-2359711.0524936095</v>
      </c>
      <c r="O75" s="35">
        <f t="shared" si="12"/>
        <v>3.5278058442024508E-2</v>
      </c>
      <c r="P75" s="7"/>
      <c r="Q75" s="7"/>
      <c r="R75" s="7"/>
      <c r="S75" s="7"/>
      <c r="T75" s="7"/>
      <c r="U75" s="7"/>
      <c r="V75" s="24"/>
      <c r="Y75" s="24"/>
      <c r="Z75" s="24"/>
      <c r="AA75" s="24"/>
      <c r="AB75" s="26"/>
      <c r="AC75" s="26"/>
      <c r="AD75" s="26"/>
      <c r="AE75" s="25"/>
      <c r="AF75" s="25"/>
      <c r="AG75" s="25"/>
    </row>
    <row r="76" spans="1:33" x14ac:dyDescent="0.2">
      <c r="A76" s="52">
        <v>38384</v>
      </c>
      <c r="B76" s="53">
        <v>54935166</v>
      </c>
      <c r="C76" s="29">
        <v>736.3</v>
      </c>
      <c r="D76" s="29">
        <v>0</v>
      </c>
      <c r="E76" s="53">
        <v>28</v>
      </c>
      <c r="F76" s="53">
        <v>0</v>
      </c>
      <c r="G76" s="53">
        <v>0</v>
      </c>
      <c r="H76" s="64">
        <v>7.3</v>
      </c>
      <c r="I76" s="53">
        <v>258.2</v>
      </c>
      <c r="J76" s="53">
        <f t="shared" si="13"/>
        <v>54453263.600362994</v>
      </c>
      <c r="K76" s="6">
        <v>130.87488663804646</v>
      </c>
      <c r="L76" s="1">
        <f t="shared" si="10"/>
        <v>53746.91630000007</v>
      </c>
      <c r="M76" s="38">
        <v>319.87200000000001</v>
      </c>
      <c r="N76" s="1">
        <f t="shared" si="11"/>
        <v>-481902.39963700622</v>
      </c>
      <c r="O76" s="35">
        <f t="shared" si="12"/>
        <v>8.7722024838699179E-3</v>
      </c>
      <c r="P76" s="7"/>
      <c r="Q76" s="7"/>
      <c r="R76" s="7"/>
      <c r="S76" s="7"/>
      <c r="T76" s="7"/>
      <c r="U76" s="7"/>
      <c r="V76" s="24"/>
      <c r="Y76" s="24"/>
      <c r="Z76" s="24"/>
      <c r="AA76" s="24"/>
      <c r="AB76" s="25"/>
      <c r="AC76" s="25"/>
      <c r="AD76" s="25"/>
      <c r="AE76" s="25"/>
      <c r="AF76" s="25"/>
      <c r="AG76" s="25"/>
    </row>
    <row r="77" spans="1:33" x14ac:dyDescent="0.2">
      <c r="A77" s="52">
        <v>38412</v>
      </c>
      <c r="B77" s="53">
        <v>56830765</v>
      </c>
      <c r="C77" s="29">
        <v>739.1</v>
      </c>
      <c r="D77" s="29">
        <v>0</v>
      </c>
      <c r="E77" s="53">
        <v>31</v>
      </c>
      <c r="F77" s="53">
        <v>1</v>
      </c>
      <c r="G77" s="53">
        <v>0</v>
      </c>
      <c r="H77" s="64">
        <v>7.6</v>
      </c>
      <c r="I77" s="53">
        <v>257.5</v>
      </c>
      <c r="J77" s="53">
        <f t="shared" si="13"/>
        <v>56132065.537163153</v>
      </c>
      <c r="K77" s="6">
        <v>131.1764111032422</v>
      </c>
      <c r="L77" s="1">
        <f t="shared" si="10"/>
        <v>53766.833000000071</v>
      </c>
      <c r="M77" s="38">
        <v>351.91199999999998</v>
      </c>
      <c r="N77" s="1">
        <f t="shared" si="11"/>
        <v>-698699.46283684671</v>
      </c>
      <c r="O77" s="35">
        <f t="shared" si="12"/>
        <v>1.229438778163283E-2</v>
      </c>
      <c r="P77" s="24"/>
      <c r="Q77" s="24"/>
      <c r="R77" s="24"/>
      <c r="S77" s="24"/>
      <c r="T77" s="24"/>
      <c r="U77" s="24"/>
      <c r="V77" s="24"/>
      <c r="Y77" s="24"/>
      <c r="Z77" s="24"/>
      <c r="AA77" s="24"/>
      <c r="AB77" s="25"/>
      <c r="AC77" s="25"/>
      <c r="AD77" s="25"/>
      <c r="AE77" s="25"/>
      <c r="AF77" s="25"/>
      <c r="AG77" s="25"/>
    </row>
    <row r="78" spans="1:33" x14ac:dyDescent="0.2">
      <c r="A78" s="52">
        <v>38443</v>
      </c>
      <c r="B78" s="53">
        <v>46226900</v>
      </c>
      <c r="C78" s="29">
        <v>378.9</v>
      </c>
      <c r="D78" s="29">
        <v>0</v>
      </c>
      <c r="E78" s="53">
        <v>30</v>
      </c>
      <c r="F78" s="53">
        <v>1</v>
      </c>
      <c r="G78" s="53">
        <v>0</v>
      </c>
      <c r="H78" s="64">
        <v>7.2</v>
      </c>
      <c r="I78" s="53">
        <v>259.60000000000002</v>
      </c>
      <c r="J78" s="53">
        <f t="shared" si="13"/>
        <v>46118337.944177404</v>
      </c>
      <c r="K78" s="6">
        <v>131.4786302548323</v>
      </c>
      <c r="L78" s="1">
        <f t="shared" si="10"/>
        <v>53786.749700000073</v>
      </c>
      <c r="M78" s="38">
        <v>336.24</v>
      </c>
      <c r="N78" s="1">
        <f t="shared" si="11"/>
        <v>-108562.05582259595</v>
      </c>
      <c r="O78" s="35">
        <f t="shared" si="12"/>
        <v>2.3484606543505179E-3</v>
      </c>
      <c r="P78" s="14"/>
      <c r="Q78" s="14"/>
      <c r="R78" s="14"/>
      <c r="S78" s="14"/>
      <c r="T78" s="14"/>
      <c r="U78" s="14"/>
      <c r="V78" s="14"/>
      <c r="Y78" s="24"/>
      <c r="Z78" s="24"/>
      <c r="AA78" s="24"/>
      <c r="AB78" s="25"/>
      <c r="AC78" s="25"/>
      <c r="AD78" s="25"/>
      <c r="AE78" s="25"/>
      <c r="AF78" s="25"/>
      <c r="AG78" s="25"/>
    </row>
    <row r="79" spans="1:33" x14ac:dyDescent="0.2">
      <c r="A79" s="52">
        <v>38473</v>
      </c>
      <c r="B79" s="53">
        <v>43216125</v>
      </c>
      <c r="C79" s="29">
        <v>214.9</v>
      </c>
      <c r="D79" s="29">
        <v>0.9</v>
      </c>
      <c r="E79" s="53">
        <v>31</v>
      </c>
      <c r="F79" s="53">
        <v>1</v>
      </c>
      <c r="G79" s="53">
        <v>0</v>
      </c>
      <c r="H79" s="64">
        <v>7.1</v>
      </c>
      <c r="I79" s="53">
        <v>262.60000000000002</v>
      </c>
      <c r="J79" s="53">
        <f t="shared" si="13"/>
        <v>43323479.223198272</v>
      </c>
      <c r="K79" s="6">
        <v>131.78154569331437</v>
      </c>
      <c r="L79" s="1">
        <f t="shared" si="10"/>
        <v>53806.666400000075</v>
      </c>
      <c r="M79" s="38">
        <v>336.28800000000001</v>
      </c>
      <c r="N79" s="1">
        <f t="shared" si="11"/>
        <v>107354.22319827229</v>
      </c>
      <c r="O79" s="35">
        <f t="shared" si="12"/>
        <v>2.4841242290527502E-3</v>
      </c>
      <c r="P79" s="7"/>
      <c r="Q79" s="7"/>
      <c r="R79" s="7"/>
      <c r="S79" s="7"/>
      <c r="T79" s="7"/>
      <c r="U79" s="7"/>
      <c r="V79" s="7"/>
      <c r="Y79" s="24"/>
      <c r="Z79" s="24"/>
      <c r="AA79" s="24"/>
      <c r="AB79" s="25"/>
      <c r="AC79" s="25"/>
      <c r="AD79" s="25"/>
      <c r="AE79" s="25"/>
      <c r="AF79" s="25"/>
      <c r="AG79" s="25"/>
    </row>
    <row r="80" spans="1:33" x14ac:dyDescent="0.2">
      <c r="A80" s="52">
        <v>38504</v>
      </c>
      <c r="B80" s="53">
        <v>45498644</v>
      </c>
      <c r="C80" s="29">
        <v>32</v>
      </c>
      <c r="D80" s="29">
        <v>75.7</v>
      </c>
      <c r="E80" s="53">
        <v>30</v>
      </c>
      <c r="F80" s="53">
        <v>0</v>
      </c>
      <c r="G80" s="53">
        <v>0</v>
      </c>
      <c r="H80" s="64">
        <v>7.2</v>
      </c>
      <c r="I80" s="53">
        <v>263.39999999999998</v>
      </c>
      <c r="J80" s="53">
        <f t="shared" si="13"/>
        <v>45638468.010120973</v>
      </c>
      <c r="K80" s="6">
        <v>132.08515902287346</v>
      </c>
      <c r="L80" s="1">
        <f t="shared" si="10"/>
        <v>53826.583100000076</v>
      </c>
      <c r="M80" s="38">
        <v>352.08</v>
      </c>
      <c r="N80" s="1">
        <f t="shared" si="11"/>
        <v>139824.01012097299</v>
      </c>
      <c r="O80" s="35">
        <f t="shared" si="12"/>
        <v>3.0731467540213503E-3</v>
      </c>
      <c r="P80" s="7"/>
      <c r="Q80" s="7"/>
      <c r="R80" s="7"/>
      <c r="S80" s="7"/>
      <c r="T80" s="7"/>
      <c r="U80" s="7"/>
      <c r="V80" s="7"/>
      <c r="Y80" s="24"/>
      <c r="Z80" s="24"/>
      <c r="AA80" s="24"/>
      <c r="AB80" s="25"/>
      <c r="AC80" s="25"/>
      <c r="AD80" s="25"/>
      <c r="AE80" s="25"/>
      <c r="AF80" s="25"/>
      <c r="AG80" s="25"/>
    </row>
    <row r="81" spans="1:33" x14ac:dyDescent="0.2">
      <c r="A81" s="52">
        <v>38534</v>
      </c>
      <c r="B81" s="53">
        <v>47362218</v>
      </c>
      <c r="C81" s="29">
        <v>13.7</v>
      </c>
      <c r="D81" s="29">
        <v>103</v>
      </c>
      <c r="E81" s="53">
        <v>31</v>
      </c>
      <c r="F81" s="53">
        <v>0</v>
      </c>
      <c r="G81" s="53">
        <v>0</v>
      </c>
      <c r="H81" s="64">
        <v>7.5</v>
      </c>
      <c r="I81" s="53">
        <v>263.8</v>
      </c>
      <c r="J81" s="53">
        <f t="shared" si="13"/>
        <v>48563447.274276815</v>
      </c>
      <c r="K81" s="6">
        <v>132.38947185139045</v>
      </c>
      <c r="L81" s="1">
        <f t="shared" si="10"/>
        <v>53846.499800000078</v>
      </c>
      <c r="M81" s="38">
        <v>319.92</v>
      </c>
      <c r="N81" s="1">
        <f t="shared" si="11"/>
        <v>1201229.2742768154</v>
      </c>
      <c r="O81" s="35">
        <f t="shared" si="12"/>
        <v>2.5362605996974538E-2</v>
      </c>
      <c r="P81" s="7"/>
      <c r="Q81" s="7"/>
      <c r="R81" s="7"/>
      <c r="S81" s="7"/>
      <c r="T81" s="7"/>
      <c r="U81" s="7"/>
      <c r="V81" s="7"/>
      <c r="Y81" s="24"/>
      <c r="Z81" s="24"/>
      <c r="AA81" s="24"/>
      <c r="AB81" s="25"/>
      <c r="AC81" s="25"/>
      <c r="AD81" s="25"/>
      <c r="AE81" s="25"/>
      <c r="AF81" s="25"/>
      <c r="AG81" s="25"/>
    </row>
    <row r="82" spans="1:33" x14ac:dyDescent="0.2">
      <c r="A82" s="52">
        <v>38565</v>
      </c>
      <c r="B82" s="53">
        <v>45630403</v>
      </c>
      <c r="C82" s="29">
        <v>18.8</v>
      </c>
      <c r="D82" s="29">
        <v>66.5</v>
      </c>
      <c r="E82" s="53">
        <v>31</v>
      </c>
      <c r="F82" s="53">
        <v>0</v>
      </c>
      <c r="G82" s="53">
        <v>0</v>
      </c>
      <c r="H82" s="64">
        <v>7.8</v>
      </c>
      <c r="I82" s="53">
        <v>261.2</v>
      </c>
      <c r="J82" s="53">
        <f t="shared" si="13"/>
        <v>45647155.783542134</v>
      </c>
      <c r="K82" s="6">
        <v>132.69448579045073</v>
      </c>
      <c r="L82" s="1">
        <f t="shared" si="10"/>
        <v>53866.416500000079</v>
      </c>
      <c r="M82" s="38">
        <v>351.91199999999998</v>
      </c>
      <c r="N82" s="1">
        <f t="shared" si="11"/>
        <v>16752.783542133868</v>
      </c>
      <c r="O82" s="35">
        <f t="shared" si="12"/>
        <v>3.671408192939665E-4</v>
      </c>
      <c r="P82" s="7"/>
      <c r="Q82" s="7"/>
      <c r="R82" s="7"/>
      <c r="S82" s="7"/>
      <c r="T82" s="7"/>
      <c r="U82" s="7"/>
      <c r="V82" s="7"/>
      <c r="Y82" s="24"/>
      <c r="Z82" s="24"/>
      <c r="AA82" s="24"/>
      <c r="AB82" s="25"/>
      <c r="AC82" s="25"/>
      <c r="AD82" s="25"/>
      <c r="AE82" s="25"/>
      <c r="AF82" s="25"/>
      <c r="AG82" s="25"/>
    </row>
    <row r="83" spans="1:33" x14ac:dyDescent="0.2">
      <c r="A83" s="52">
        <v>38596</v>
      </c>
      <c r="B83" s="53">
        <v>42580573.000000007</v>
      </c>
      <c r="C83" s="29">
        <v>85.4</v>
      </c>
      <c r="D83" s="29">
        <v>17.3</v>
      </c>
      <c r="E83" s="53">
        <v>30</v>
      </c>
      <c r="F83" s="53">
        <v>1</v>
      </c>
      <c r="G83" s="53">
        <v>0</v>
      </c>
      <c r="H83" s="64">
        <v>7.2</v>
      </c>
      <c r="I83" s="53">
        <v>260.2</v>
      </c>
      <c r="J83" s="53">
        <f t="shared" si="13"/>
        <v>40293153.198711075</v>
      </c>
      <c r="K83" s="6">
        <v>133.00020245535256</v>
      </c>
      <c r="L83" s="1">
        <f t="shared" si="10"/>
        <v>53886.333200000081</v>
      </c>
      <c r="M83" s="38">
        <v>336.24</v>
      </c>
      <c r="N83" s="1">
        <f t="shared" si="11"/>
        <v>-2287419.8012889326</v>
      </c>
      <c r="O83" s="35">
        <f t="shared" si="12"/>
        <v>5.3719798493292517E-2</v>
      </c>
      <c r="P83" s="7"/>
      <c r="Q83" s="7"/>
      <c r="R83" s="7"/>
      <c r="S83" s="7"/>
      <c r="T83" s="7"/>
      <c r="U83" s="7"/>
      <c r="V83" s="7"/>
      <c r="Y83" s="24"/>
      <c r="Z83" s="24"/>
      <c r="AA83" s="24"/>
      <c r="AB83" s="25"/>
      <c r="AC83" s="25"/>
      <c r="AD83" s="25"/>
      <c r="AE83" s="25"/>
      <c r="AF83" s="25"/>
      <c r="AG83" s="25"/>
    </row>
    <row r="84" spans="1:33" x14ac:dyDescent="0.2">
      <c r="A84" s="52">
        <v>38626</v>
      </c>
      <c r="B84" s="53">
        <v>45537061</v>
      </c>
      <c r="C84" s="29">
        <v>300</v>
      </c>
      <c r="D84" s="29">
        <v>7.3</v>
      </c>
      <c r="E84" s="53">
        <v>31</v>
      </c>
      <c r="F84" s="53">
        <v>1</v>
      </c>
      <c r="G84" s="53">
        <v>0</v>
      </c>
      <c r="H84" s="64">
        <v>6.8</v>
      </c>
      <c r="I84" s="53">
        <v>259</v>
      </c>
      <c r="J84" s="53">
        <f t="shared" si="13"/>
        <v>45990443.343470298</v>
      </c>
      <c r="K84" s="6">
        <v>133.30662346511576</v>
      </c>
      <c r="L84" s="1">
        <f t="shared" si="10"/>
        <v>53906.249900000083</v>
      </c>
      <c r="M84" s="38">
        <v>319.92</v>
      </c>
      <c r="N84" s="1">
        <f t="shared" si="11"/>
        <v>453382.34347029775</v>
      </c>
      <c r="O84" s="35">
        <f t="shared" si="12"/>
        <v>9.9563373989001568E-3</v>
      </c>
      <c r="P84" s="7"/>
      <c r="Q84" s="7"/>
      <c r="R84" s="7"/>
      <c r="S84" s="7"/>
      <c r="T84" s="7"/>
      <c r="U84" s="7"/>
      <c r="V84" s="7"/>
      <c r="Y84" s="24"/>
      <c r="Z84" s="24"/>
      <c r="AA84" s="24"/>
      <c r="AB84" s="25"/>
      <c r="AC84" s="25"/>
      <c r="AD84" s="25"/>
      <c r="AE84" s="25"/>
      <c r="AF84" s="25"/>
      <c r="AG84" s="25"/>
    </row>
    <row r="85" spans="1:33" x14ac:dyDescent="0.2">
      <c r="A85" s="52">
        <v>38657</v>
      </c>
      <c r="B85" s="53">
        <v>51404729</v>
      </c>
      <c r="C85" s="29">
        <v>558.20000000000005</v>
      </c>
      <c r="D85" s="29">
        <v>0</v>
      </c>
      <c r="E85" s="53">
        <v>30</v>
      </c>
      <c r="F85" s="53">
        <v>1</v>
      </c>
      <c r="G85" s="53">
        <v>0</v>
      </c>
      <c r="H85" s="64">
        <v>6</v>
      </c>
      <c r="I85" s="53">
        <v>257.7</v>
      </c>
      <c r="J85" s="53">
        <f t="shared" si="13"/>
        <v>50700559.202221453</v>
      </c>
      <c r="K85" s="6">
        <v>133.61375044249021</v>
      </c>
      <c r="L85" s="1">
        <f t="shared" si="10"/>
        <v>53926.166600000084</v>
      </c>
      <c r="M85" s="38">
        <v>352.08</v>
      </c>
      <c r="N85" s="1">
        <f t="shared" si="11"/>
        <v>-704169.79777854681</v>
      </c>
      <c r="O85" s="35">
        <f t="shared" si="12"/>
        <v>1.3698541194109725E-2</v>
      </c>
      <c r="P85" s="7"/>
      <c r="Q85" s="7"/>
      <c r="R85" s="7"/>
      <c r="S85" s="7"/>
      <c r="T85" s="7"/>
      <c r="U85" s="7"/>
      <c r="V85" s="7"/>
      <c r="Y85" s="24"/>
      <c r="Z85" s="24"/>
      <c r="AA85" s="24"/>
      <c r="AB85" s="25"/>
      <c r="AC85" s="25"/>
      <c r="AD85" s="25"/>
      <c r="AE85" s="25"/>
      <c r="AF85" s="25"/>
      <c r="AG85" s="25"/>
    </row>
    <row r="86" spans="1:33" x14ac:dyDescent="0.2">
      <c r="A86" s="52">
        <v>38687</v>
      </c>
      <c r="B86" s="53">
        <v>60252162</v>
      </c>
      <c r="C86" s="29">
        <v>831.8</v>
      </c>
      <c r="D86" s="29">
        <v>0</v>
      </c>
      <c r="E86" s="53">
        <v>31</v>
      </c>
      <c r="F86" s="53">
        <v>0</v>
      </c>
      <c r="G86" s="53">
        <v>0</v>
      </c>
      <c r="H86" s="64">
        <v>6.4</v>
      </c>
      <c r="I86" s="53">
        <v>257</v>
      </c>
      <c r="J86" s="53">
        <f t="shared" si="13"/>
        <v>60433560.062269509</v>
      </c>
      <c r="K86" s="6">
        <v>133.92158501396437</v>
      </c>
      <c r="L86" s="1">
        <f t="shared" si="10"/>
        <v>53946.083300000086</v>
      </c>
      <c r="M86" s="38">
        <v>319.92</v>
      </c>
      <c r="N86" s="1">
        <f t="shared" si="11"/>
        <v>181398.06226950884</v>
      </c>
      <c r="O86" s="35">
        <f t="shared" si="12"/>
        <v>3.0106481866909412E-3</v>
      </c>
      <c r="P86" s="7"/>
      <c r="Q86" s="7"/>
      <c r="R86" s="7"/>
      <c r="S86" s="7"/>
      <c r="T86" s="7"/>
      <c r="U86" s="7"/>
      <c r="V86" s="7"/>
      <c r="Y86" s="24"/>
      <c r="Z86" s="24"/>
      <c r="AA86" s="24"/>
      <c r="AB86" s="25"/>
      <c r="AC86" s="25"/>
      <c r="AD86" s="25"/>
      <c r="AE86" s="25"/>
      <c r="AF86" s="25"/>
      <c r="AG86" s="25"/>
    </row>
    <row r="87" spans="1:33" x14ac:dyDescent="0.2">
      <c r="A87" s="52">
        <v>38718</v>
      </c>
      <c r="B87" s="53">
        <v>60057501</v>
      </c>
      <c r="C87" s="29">
        <v>774.4</v>
      </c>
      <c r="D87" s="29">
        <v>0</v>
      </c>
      <c r="E87" s="53">
        <v>31</v>
      </c>
      <c r="F87" s="53">
        <v>0</v>
      </c>
      <c r="G87" s="53">
        <v>0</v>
      </c>
      <c r="H87" s="64">
        <v>6.7</v>
      </c>
      <c r="I87" s="53">
        <v>256.7</v>
      </c>
      <c r="J87" s="53">
        <f t="shared" si="13"/>
        <v>58977425.860647164</v>
      </c>
      <c r="K87" s="6">
        <v>134.18652630932939</v>
      </c>
      <c r="L87" s="1">
        <f t="shared" si="10"/>
        <v>53966.000000000087</v>
      </c>
      <c r="M87" s="38">
        <v>336.28800000000001</v>
      </c>
      <c r="N87" s="1">
        <f t="shared" si="11"/>
        <v>-1080075.1393528357</v>
      </c>
      <c r="O87" s="35">
        <f t="shared" si="12"/>
        <v>1.7984017339529923E-2</v>
      </c>
      <c r="P87" s="7"/>
      <c r="Q87" s="7"/>
      <c r="R87" s="7"/>
      <c r="S87" s="7"/>
      <c r="T87" s="7"/>
      <c r="U87" s="7"/>
      <c r="V87" s="7"/>
      <c r="Y87" s="24"/>
      <c r="Z87" s="24"/>
      <c r="AA87" s="24"/>
      <c r="AB87" s="26"/>
      <c r="AC87" s="26"/>
      <c r="AD87" s="26"/>
      <c r="AE87" s="25"/>
      <c r="AF87" s="25"/>
      <c r="AG87" s="25"/>
    </row>
    <row r="88" spans="1:33" x14ac:dyDescent="0.2">
      <c r="A88" s="52">
        <v>38749</v>
      </c>
      <c r="B88" s="53">
        <v>56039043</v>
      </c>
      <c r="C88" s="29">
        <v>819.9</v>
      </c>
      <c r="D88" s="29">
        <v>0</v>
      </c>
      <c r="E88" s="53">
        <v>28</v>
      </c>
      <c r="F88" s="53">
        <v>0</v>
      </c>
      <c r="G88" s="53">
        <v>0</v>
      </c>
      <c r="H88" s="64">
        <v>7</v>
      </c>
      <c r="I88" s="53">
        <v>254.5</v>
      </c>
      <c r="J88" s="53">
        <f t="shared" si="13"/>
        <v>56556488.604555301</v>
      </c>
      <c r="K88" s="6">
        <v>134.45199174641496</v>
      </c>
      <c r="L88" s="1">
        <f t="shared" si="10"/>
        <v>53985.916700000089</v>
      </c>
      <c r="M88" s="38">
        <v>319.87200000000001</v>
      </c>
      <c r="N88" s="1">
        <f t="shared" si="11"/>
        <v>517445.60455530137</v>
      </c>
      <c r="O88" s="35">
        <f t="shared" si="12"/>
        <v>9.2336624048933412E-3</v>
      </c>
      <c r="P88" s="24"/>
      <c r="Q88" s="24"/>
      <c r="R88" s="24"/>
      <c r="S88" s="24"/>
      <c r="T88" s="24"/>
      <c r="U88" s="24"/>
      <c r="V88" s="24"/>
      <c r="Y88" s="24"/>
      <c r="Z88" s="24"/>
      <c r="AA88" s="24"/>
      <c r="AB88" s="25"/>
      <c r="AC88" s="25"/>
      <c r="AD88" s="25"/>
      <c r="AE88" s="25"/>
      <c r="AF88" s="25"/>
      <c r="AG88" s="25"/>
    </row>
    <row r="89" spans="1:33" x14ac:dyDescent="0.2">
      <c r="A89" s="52">
        <v>38777</v>
      </c>
      <c r="B89" s="53">
        <v>55895027</v>
      </c>
      <c r="C89" s="29">
        <v>666.4</v>
      </c>
      <c r="D89" s="29">
        <v>0</v>
      </c>
      <c r="E89" s="53">
        <v>31</v>
      </c>
      <c r="F89" s="53">
        <v>1</v>
      </c>
      <c r="G89" s="53">
        <v>0</v>
      </c>
      <c r="H89" s="64">
        <v>7.4</v>
      </c>
      <c r="I89" s="53">
        <v>252.9</v>
      </c>
      <c r="J89" s="53">
        <f t="shared" si="13"/>
        <v>54362153.374179356</v>
      </c>
      <c r="K89" s="6">
        <v>134.71798236214718</v>
      </c>
      <c r="L89" s="1">
        <f t="shared" si="10"/>
        <v>54005.83340000009</v>
      </c>
      <c r="M89" s="38">
        <v>368.28</v>
      </c>
      <c r="N89" s="1">
        <f t="shared" si="11"/>
        <v>-1532873.6258206442</v>
      </c>
      <c r="O89" s="35">
        <f t="shared" si="12"/>
        <v>2.7424150377825994E-2</v>
      </c>
    </row>
    <row r="90" spans="1:33" x14ac:dyDescent="0.2">
      <c r="A90" s="52">
        <v>38808</v>
      </c>
      <c r="B90" s="53">
        <v>45424746</v>
      </c>
      <c r="C90" s="29">
        <v>368.2</v>
      </c>
      <c r="D90" s="29">
        <v>0</v>
      </c>
      <c r="E90" s="53">
        <v>30</v>
      </c>
      <c r="F90" s="53">
        <v>1</v>
      </c>
      <c r="G90" s="53">
        <v>0</v>
      </c>
      <c r="H90" s="64">
        <v>7.4</v>
      </c>
      <c r="I90" s="53">
        <v>252</v>
      </c>
      <c r="J90" s="53">
        <f t="shared" si="13"/>
        <v>45828426.712720968</v>
      </c>
      <c r="K90" s="6">
        <v>134.98449919550356</v>
      </c>
      <c r="L90" s="1">
        <f t="shared" si="10"/>
        <v>54025.750100000092</v>
      </c>
      <c r="M90" s="38">
        <v>303.83999999999997</v>
      </c>
      <c r="N90" s="1">
        <f t="shared" si="11"/>
        <v>403680.71272096783</v>
      </c>
      <c r="O90" s="35">
        <f t="shared" si="12"/>
        <v>8.8868017604538246E-3</v>
      </c>
    </row>
    <row r="91" spans="1:33" x14ac:dyDescent="0.2">
      <c r="A91" s="52">
        <v>38838</v>
      </c>
      <c r="B91" s="53">
        <v>43588455</v>
      </c>
      <c r="C91" s="29">
        <v>162.80000000000001</v>
      </c>
      <c r="D91" s="29">
        <v>14.5</v>
      </c>
      <c r="E91" s="53">
        <v>31</v>
      </c>
      <c r="F91" s="53">
        <v>1</v>
      </c>
      <c r="G91" s="53">
        <v>0</v>
      </c>
      <c r="H91" s="64">
        <v>7.2</v>
      </c>
      <c r="I91" s="53">
        <v>254.1</v>
      </c>
      <c r="J91" s="53">
        <f t="shared" si="13"/>
        <v>43143106.750004463</v>
      </c>
      <c r="K91" s="6">
        <v>135.25154328751699</v>
      </c>
      <c r="L91" s="1">
        <f t="shared" si="10"/>
        <v>54045.666800000094</v>
      </c>
      <c r="M91" s="38">
        <v>351.91199999999998</v>
      </c>
      <c r="N91" s="1">
        <f t="shared" si="11"/>
        <v>-445348.2499955371</v>
      </c>
      <c r="O91" s="35">
        <f t="shared" si="12"/>
        <v>1.021711482995984E-2</v>
      </c>
    </row>
    <row r="92" spans="1:33" x14ac:dyDescent="0.2">
      <c r="A92" s="52">
        <v>38869</v>
      </c>
      <c r="B92" s="53">
        <v>43241594</v>
      </c>
      <c r="C92" s="29">
        <v>53</v>
      </c>
      <c r="D92" s="29">
        <v>31.7</v>
      </c>
      <c r="E92" s="53">
        <v>30</v>
      </c>
      <c r="F92" s="53">
        <v>0</v>
      </c>
      <c r="G92" s="53">
        <v>0</v>
      </c>
      <c r="H92" s="64">
        <v>6.9</v>
      </c>
      <c r="I92" s="53">
        <v>255.8</v>
      </c>
      <c r="J92" s="53">
        <f t="shared" si="13"/>
        <v>42574583.524876751</v>
      </c>
      <c r="K92" s="6">
        <v>135.51911568127991</v>
      </c>
      <c r="L92" s="1">
        <f t="shared" ref="L92:L121" si="14">L91+19.9167</f>
        <v>54065.583500000095</v>
      </c>
      <c r="M92" s="38">
        <v>352.08</v>
      </c>
      <c r="N92" s="1">
        <f t="shared" si="11"/>
        <v>-667010.47512324899</v>
      </c>
      <c r="O92" s="35">
        <f t="shared" si="12"/>
        <v>1.5425205535282743E-2</v>
      </c>
    </row>
    <row r="93" spans="1:33" x14ac:dyDescent="0.2">
      <c r="A93" s="52">
        <v>38899</v>
      </c>
      <c r="B93" s="53">
        <v>44839273</v>
      </c>
      <c r="C93" s="29">
        <v>9.4</v>
      </c>
      <c r="D93" s="29">
        <v>81.400000000000006</v>
      </c>
      <c r="E93" s="53">
        <v>31</v>
      </c>
      <c r="F93" s="53">
        <v>0</v>
      </c>
      <c r="G93" s="53">
        <v>0</v>
      </c>
      <c r="H93" s="64">
        <v>7.3</v>
      </c>
      <c r="I93" s="53">
        <v>260.60000000000002</v>
      </c>
      <c r="J93" s="53">
        <f t="shared" si="13"/>
        <v>46705301.39924895</v>
      </c>
      <c r="K93" s="6">
        <v>135.78721742194836</v>
      </c>
      <c r="L93" s="1">
        <f t="shared" si="14"/>
        <v>54085.500200000097</v>
      </c>
      <c r="M93" s="38">
        <v>319.92</v>
      </c>
      <c r="N93" s="1">
        <f t="shared" si="11"/>
        <v>1866028.3992489502</v>
      </c>
      <c r="O93" s="35">
        <f t="shared" si="12"/>
        <v>4.161593786877299E-2</v>
      </c>
    </row>
    <row r="94" spans="1:33" x14ac:dyDescent="0.2">
      <c r="A94" s="52">
        <v>38930</v>
      </c>
      <c r="B94" s="53">
        <v>43794723</v>
      </c>
      <c r="C94" s="29">
        <v>50.8</v>
      </c>
      <c r="D94" s="29">
        <v>25.4</v>
      </c>
      <c r="E94" s="53">
        <v>31</v>
      </c>
      <c r="F94" s="53">
        <v>0</v>
      </c>
      <c r="G94" s="53">
        <v>0</v>
      </c>
      <c r="H94" s="64">
        <v>7.9</v>
      </c>
      <c r="I94" s="53">
        <v>262.8</v>
      </c>
      <c r="J94" s="53">
        <f t="shared" si="13"/>
        <v>43042325.277831748</v>
      </c>
      <c r="K94" s="6">
        <v>136.05584955674595</v>
      </c>
      <c r="L94" s="1">
        <f t="shared" si="14"/>
        <v>54105.416900000098</v>
      </c>
      <c r="M94" s="38">
        <v>351.91199999999998</v>
      </c>
      <c r="N94" s="1">
        <f t="shared" si="11"/>
        <v>-752397.72216825187</v>
      </c>
      <c r="O94" s="35">
        <f t="shared" si="12"/>
        <v>1.7180100035528296E-2</v>
      </c>
    </row>
    <row r="95" spans="1:33" x14ac:dyDescent="0.2">
      <c r="A95" s="52">
        <v>38961</v>
      </c>
      <c r="B95" s="53">
        <v>41496399</v>
      </c>
      <c r="C95" s="29">
        <v>183.8</v>
      </c>
      <c r="D95" s="29">
        <v>0.1</v>
      </c>
      <c r="E95" s="53">
        <v>30</v>
      </c>
      <c r="F95" s="53">
        <v>1</v>
      </c>
      <c r="G95" s="53">
        <v>0</v>
      </c>
      <c r="H95" s="64">
        <v>8</v>
      </c>
      <c r="I95" s="53">
        <v>262.8</v>
      </c>
      <c r="J95" s="53">
        <f t="shared" si="13"/>
        <v>41205398.563334703</v>
      </c>
      <c r="K95" s="6">
        <v>136.32501313496817</v>
      </c>
      <c r="L95" s="1">
        <f t="shared" si="14"/>
        <v>54125.3336000001</v>
      </c>
      <c r="M95" s="38">
        <v>319.68</v>
      </c>
      <c r="N95" s="1">
        <f t="shared" si="11"/>
        <v>-291000.43666529655</v>
      </c>
      <c r="O95" s="35">
        <f t="shared" si="12"/>
        <v>7.0126672115644675E-3</v>
      </c>
    </row>
    <row r="96" spans="1:33" x14ac:dyDescent="0.2">
      <c r="A96" s="52">
        <v>38991</v>
      </c>
      <c r="B96" s="53">
        <v>46700377</v>
      </c>
      <c r="C96" s="29">
        <v>401.4</v>
      </c>
      <c r="D96" s="29">
        <v>0</v>
      </c>
      <c r="E96" s="53">
        <v>31</v>
      </c>
      <c r="F96" s="53">
        <v>1</v>
      </c>
      <c r="G96" s="53">
        <v>0</v>
      </c>
      <c r="H96" s="64">
        <v>7.6</v>
      </c>
      <c r="I96" s="53">
        <v>260.8</v>
      </c>
      <c r="J96" s="53">
        <f t="shared" si="13"/>
        <v>47791509.65823669</v>
      </c>
      <c r="K96" s="6">
        <v>136.59470920798631</v>
      </c>
      <c r="L96" s="1">
        <f t="shared" si="14"/>
        <v>54145.250300000102</v>
      </c>
      <c r="M96" s="38">
        <v>336.28800000000001</v>
      </c>
      <c r="N96" s="1">
        <f t="shared" si="11"/>
        <v>1091132.6582366899</v>
      </c>
      <c r="O96" s="35">
        <f t="shared" si="12"/>
        <v>2.3364536398425433E-2</v>
      </c>
    </row>
    <row r="97" spans="1:30" x14ac:dyDescent="0.2">
      <c r="A97" s="52">
        <v>39022</v>
      </c>
      <c r="B97" s="53">
        <v>49262976</v>
      </c>
      <c r="C97" s="29">
        <v>496.8</v>
      </c>
      <c r="D97" s="29">
        <v>0</v>
      </c>
      <c r="E97" s="53">
        <v>30</v>
      </c>
      <c r="F97" s="53">
        <v>1</v>
      </c>
      <c r="G97" s="53">
        <v>0</v>
      </c>
      <c r="H97" s="64">
        <v>7.1</v>
      </c>
      <c r="I97" s="53">
        <v>261</v>
      </c>
      <c r="J97" s="53">
        <f t="shared" si="13"/>
        <v>49043067.217510521</v>
      </c>
      <c r="K97" s="6">
        <v>136.8649388292516</v>
      </c>
      <c r="L97" s="1">
        <f t="shared" si="14"/>
        <v>54165.167000000103</v>
      </c>
      <c r="M97" s="38">
        <v>352.08</v>
      </c>
      <c r="N97" s="1">
        <f t="shared" si="11"/>
        <v>-219908.78248947859</v>
      </c>
      <c r="O97" s="35">
        <f t="shared" si="12"/>
        <v>4.4639768106879817E-3</v>
      </c>
    </row>
    <row r="98" spans="1:30" x14ac:dyDescent="0.2">
      <c r="A98" s="52">
        <v>39052</v>
      </c>
      <c r="B98" s="53">
        <v>55422684</v>
      </c>
      <c r="C98" s="29">
        <v>674.9</v>
      </c>
      <c r="D98" s="29">
        <v>0</v>
      </c>
      <c r="E98" s="53">
        <v>31</v>
      </c>
      <c r="F98" s="53">
        <v>0</v>
      </c>
      <c r="G98" s="53">
        <v>0</v>
      </c>
      <c r="H98" s="64">
        <v>6.6</v>
      </c>
      <c r="I98" s="53">
        <v>263.8</v>
      </c>
      <c r="J98" s="53">
        <f t="shared" si="13"/>
        <v>56532783.359983787</v>
      </c>
      <c r="K98" s="6">
        <v>137.13570305429951</v>
      </c>
      <c r="L98" s="1">
        <f t="shared" si="14"/>
        <v>54185.083700000105</v>
      </c>
      <c r="M98" s="38">
        <v>304.29599999999999</v>
      </c>
      <c r="N98" s="1">
        <f t="shared" si="11"/>
        <v>1110099.3599837869</v>
      </c>
      <c r="O98" s="35">
        <f t="shared" si="12"/>
        <v>2.0029693256713929E-2</v>
      </c>
    </row>
    <row r="99" spans="1:30" x14ac:dyDescent="0.2">
      <c r="A99" s="52">
        <v>39083</v>
      </c>
      <c r="B99" s="53">
        <v>62003361</v>
      </c>
      <c r="C99" s="29">
        <v>883.4</v>
      </c>
      <c r="D99" s="29">
        <v>0</v>
      </c>
      <c r="E99" s="53">
        <v>31</v>
      </c>
      <c r="F99" s="53">
        <v>0</v>
      </c>
      <c r="G99" s="53">
        <v>0</v>
      </c>
      <c r="H99" s="64">
        <v>6.8</v>
      </c>
      <c r="I99" s="53">
        <v>263</v>
      </c>
      <c r="J99" s="53">
        <f t="shared" si="13"/>
        <v>61656700.522547722</v>
      </c>
      <c r="K99" s="6">
        <v>137.36219381728966</v>
      </c>
      <c r="L99" s="1">
        <f t="shared" si="14"/>
        <v>54205.000400000106</v>
      </c>
      <c r="M99" s="38">
        <v>351.91199999999998</v>
      </c>
      <c r="N99" s="1">
        <f t="shared" ref="N99:N130" si="15">J99-B99</f>
        <v>-346660.47745227814</v>
      </c>
      <c r="O99" s="35">
        <f t="shared" ref="O99:O130" si="16">ABS(N99/B99)</f>
        <v>5.5909949373918319E-3</v>
      </c>
      <c r="AB99" s="22"/>
      <c r="AC99" s="22"/>
      <c r="AD99" s="22"/>
    </row>
    <row r="100" spans="1:30" x14ac:dyDescent="0.2">
      <c r="A100" s="52">
        <v>39114</v>
      </c>
      <c r="B100" s="53">
        <v>59454517</v>
      </c>
      <c r="C100" s="29">
        <v>909.1</v>
      </c>
      <c r="D100" s="29">
        <v>0</v>
      </c>
      <c r="E100" s="53">
        <v>28</v>
      </c>
      <c r="F100" s="53">
        <v>0</v>
      </c>
      <c r="G100" s="53">
        <v>0</v>
      </c>
      <c r="H100" s="64">
        <v>7.3</v>
      </c>
      <c r="I100" s="53">
        <v>260.7</v>
      </c>
      <c r="J100" s="53">
        <f t="shared" si="13"/>
        <v>58721099.122656427</v>
      </c>
      <c r="K100" s="6">
        <v>137.58905864818905</v>
      </c>
      <c r="L100" s="1">
        <f t="shared" si="14"/>
        <v>54224.917100000108</v>
      </c>
      <c r="M100" s="38">
        <v>319.87200000000001</v>
      </c>
      <c r="N100" s="1">
        <f t="shared" si="15"/>
        <v>-733417.87734357268</v>
      </c>
      <c r="O100" s="35">
        <f t="shared" si="16"/>
        <v>1.2335780599202794E-2</v>
      </c>
    </row>
    <row r="101" spans="1:30" x14ac:dyDescent="0.2">
      <c r="A101" s="52">
        <v>39142</v>
      </c>
      <c r="B101" s="53">
        <v>56496409</v>
      </c>
      <c r="C101" s="29">
        <v>691</v>
      </c>
      <c r="D101" s="29">
        <v>0</v>
      </c>
      <c r="E101" s="53">
        <v>31</v>
      </c>
      <c r="F101" s="53">
        <v>1</v>
      </c>
      <c r="G101" s="53">
        <v>0</v>
      </c>
      <c r="H101" s="64">
        <v>7.6</v>
      </c>
      <c r="I101" s="53">
        <v>260</v>
      </c>
      <c r="J101" s="53">
        <f t="shared" si="13"/>
        <v>54944085.857635871</v>
      </c>
      <c r="K101" s="6">
        <v>137.8162981648012</v>
      </c>
      <c r="L101" s="1">
        <f t="shared" si="14"/>
        <v>54244.833800000109</v>
      </c>
      <c r="M101" s="38">
        <v>351.91199999999998</v>
      </c>
      <c r="N101" s="1">
        <f t="shared" si="15"/>
        <v>-1552323.1423641294</v>
      </c>
      <c r="O101" s="35">
        <f t="shared" si="16"/>
        <v>2.7476492220313144E-2</v>
      </c>
    </row>
    <row r="102" spans="1:30" x14ac:dyDescent="0.2">
      <c r="A102" s="52">
        <v>39173</v>
      </c>
      <c r="B102" s="53">
        <v>47097957</v>
      </c>
      <c r="C102" s="29">
        <v>426.6</v>
      </c>
      <c r="D102" s="29">
        <v>0</v>
      </c>
      <c r="E102" s="53">
        <v>30</v>
      </c>
      <c r="F102" s="53">
        <v>1</v>
      </c>
      <c r="G102" s="53">
        <v>0</v>
      </c>
      <c r="H102" s="64">
        <v>7.5</v>
      </c>
      <c r="I102" s="53">
        <v>261.3</v>
      </c>
      <c r="J102" s="53">
        <f t="shared" si="13"/>
        <v>47257976.389505513</v>
      </c>
      <c r="K102" s="6">
        <v>138.04391298595004</v>
      </c>
      <c r="L102" s="1">
        <f t="shared" si="14"/>
        <v>54264.750500000111</v>
      </c>
      <c r="M102" s="38">
        <v>319.68</v>
      </c>
      <c r="N102" s="1">
        <f t="shared" si="15"/>
        <v>160019.38950551301</v>
      </c>
      <c r="O102" s="35">
        <f t="shared" si="16"/>
        <v>3.3975866406585962E-3</v>
      </c>
    </row>
    <row r="103" spans="1:30" x14ac:dyDescent="0.2">
      <c r="A103" s="52">
        <v>39203</v>
      </c>
      <c r="B103" s="53">
        <v>43141949.999999993</v>
      </c>
      <c r="C103" s="29">
        <v>189</v>
      </c>
      <c r="D103" s="29">
        <v>15.1</v>
      </c>
      <c r="E103" s="53">
        <v>31</v>
      </c>
      <c r="F103" s="53">
        <v>1</v>
      </c>
      <c r="G103" s="53">
        <v>0</v>
      </c>
      <c r="H103" s="64">
        <v>7</v>
      </c>
      <c r="I103" s="53">
        <v>265.7</v>
      </c>
      <c r="J103" s="53">
        <f t="shared" si="13"/>
        <v>43865216.244804174</v>
      </c>
      <c r="K103" s="6">
        <v>138.27190373148153</v>
      </c>
      <c r="L103" s="1">
        <f t="shared" si="14"/>
        <v>54284.667200000113</v>
      </c>
      <c r="M103" s="38">
        <v>351.91199999999998</v>
      </c>
      <c r="N103" s="1">
        <f t="shared" si="15"/>
        <v>723266.24480418116</v>
      </c>
      <c r="O103" s="35">
        <f t="shared" si="16"/>
        <v>1.6764801887818731E-2</v>
      </c>
    </row>
    <row r="104" spans="1:30" x14ac:dyDescent="0.2">
      <c r="A104" s="52">
        <v>39234</v>
      </c>
      <c r="B104" s="53">
        <v>43729150</v>
      </c>
      <c r="C104" s="29">
        <v>71.099999999999994</v>
      </c>
      <c r="D104" s="29">
        <v>55.8</v>
      </c>
      <c r="E104" s="53">
        <v>30</v>
      </c>
      <c r="F104" s="53">
        <v>0</v>
      </c>
      <c r="G104" s="53">
        <v>0</v>
      </c>
      <c r="H104" s="64">
        <v>6.8</v>
      </c>
      <c r="I104" s="53">
        <v>268</v>
      </c>
      <c r="J104" s="53">
        <f t="shared" si="13"/>
        <v>45017764.508280694</v>
      </c>
      <c r="K104" s="6">
        <v>138.50027102226537</v>
      </c>
      <c r="L104" s="1">
        <f t="shared" si="14"/>
        <v>54304.583900000114</v>
      </c>
      <c r="M104" s="38">
        <v>336.24</v>
      </c>
      <c r="N104" s="1">
        <f t="shared" si="15"/>
        <v>1288614.5082806945</v>
      </c>
      <c r="O104" s="35">
        <f t="shared" si="16"/>
        <v>2.946808955309432E-2</v>
      </c>
    </row>
    <row r="105" spans="1:30" x14ac:dyDescent="0.2">
      <c r="A105" s="52">
        <v>39264</v>
      </c>
      <c r="B105" s="53">
        <v>43830720</v>
      </c>
      <c r="C105" s="29">
        <v>34.200000000000003</v>
      </c>
      <c r="D105" s="29">
        <v>44.6</v>
      </c>
      <c r="E105" s="53">
        <v>31</v>
      </c>
      <c r="F105" s="53">
        <v>0</v>
      </c>
      <c r="G105" s="53">
        <v>0</v>
      </c>
      <c r="H105" s="64">
        <v>6.5</v>
      </c>
      <c r="I105" s="53">
        <v>269.39999999999998</v>
      </c>
      <c r="J105" s="53">
        <f t="shared" si="13"/>
        <v>44391901.511658534</v>
      </c>
      <c r="K105" s="6">
        <v>138.72901548019664</v>
      </c>
      <c r="L105" s="1">
        <f t="shared" si="14"/>
        <v>54324.500600000116</v>
      </c>
      <c r="M105" s="38">
        <v>336.28800000000001</v>
      </c>
      <c r="N105" s="1">
        <f t="shared" si="15"/>
        <v>561181.51165853441</v>
      </c>
      <c r="O105" s="35">
        <f t="shared" si="16"/>
        <v>1.2803383372633039E-2</v>
      </c>
    </row>
    <row r="106" spans="1:30" x14ac:dyDescent="0.2">
      <c r="A106" s="52">
        <v>39295</v>
      </c>
      <c r="B106" s="53">
        <v>44858760</v>
      </c>
      <c r="C106" s="29">
        <v>36.799999999999997</v>
      </c>
      <c r="D106" s="29">
        <v>48.9</v>
      </c>
      <c r="E106" s="53">
        <v>31</v>
      </c>
      <c r="F106" s="53">
        <v>0</v>
      </c>
      <c r="G106" s="53">
        <v>0</v>
      </c>
      <c r="H106" s="64">
        <v>6.6</v>
      </c>
      <c r="I106" s="53">
        <v>269</v>
      </c>
      <c r="J106" s="53">
        <f t="shared" si="13"/>
        <v>44797167.110003099</v>
      </c>
      <c r="K106" s="6">
        <v>138.95813772819753</v>
      </c>
      <c r="L106" s="1">
        <f t="shared" si="14"/>
        <v>54344.417300000117</v>
      </c>
      <c r="M106" s="38">
        <v>351.91199999999998</v>
      </c>
      <c r="N106" s="1">
        <f t="shared" si="15"/>
        <v>-61592.889996901155</v>
      </c>
      <c r="O106" s="35">
        <f t="shared" si="16"/>
        <v>1.3730404049710949E-3</v>
      </c>
    </row>
    <row r="107" spans="1:30" x14ac:dyDescent="0.2">
      <c r="A107" s="52">
        <v>39326</v>
      </c>
      <c r="B107" s="53">
        <v>41609690</v>
      </c>
      <c r="C107" s="29">
        <v>110</v>
      </c>
      <c r="D107" s="29">
        <v>13.7</v>
      </c>
      <c r="E107" s="53">
        <v>30</v>
      </c>
      <c r="F107" s="53">
        <v>1</v>
      </c>
      <c r="G107" s="53">
        <v>0</v>
      </c>
      <c r="H107" s="64">
        <v>6.1</v>
      </c>
      <c r="I107" s="53">
        <v>266</v>
      </c>
      <c r="J107" s="53">
        <f t="shared" si="13"/>
        <v>40745490.07299716</v>
      </c>
      <c r="K107" s="6">
        <v>139.18763839021906</v>
      </c>
      <c r="L107" s="1">
        <f t="shared" si="14"/>
        <v>54364.334000000119</v>
      </c>
      <c r="M107" s="38">
        <v>303.83999999999997</v>
      </c>
      <c r="N107" s="1">
        <f t="shared" si="15"/>
        <v>-864199.92700283974</v>
      </c>
      <c r="O107" s="35">
        <f t="shared" si="16"/>
        <v>2.0769198881386518E-2</v>
      </c>
    </row>
    <row r="108" spans="1:30" x14ac:dyDescent="0.2">
      <c r="A108" s="52">
        <v>39356</v>
      </c>
      <c r="B108" s="53">
        <v>44856839.999999993</v>
      </c>
      <c r="C108" s="29">
        <v>262</v>
      </c>
      <c r="D108" s="29">
        <v>0</v>
      </c>
      <c r="E108" s="53">
        <v>31</v>
      </c>
      <c r="F108" s="53">
        <v>1</v>
      </c>
      <c r="G108" s="53">
        <v>0</v>
      </c>
      <c r="H108" s="64">
        <v>5.5</v>
      </c>
      <c r="I108" s="53">
        <v>265.60000000000002</v>
      </c>
      <c r="J108" s="53">
        <f t="shared" si="13"/>
        <v>44617825.315743588</v>
      </c>
      <c r="K108" s="6">
        <v>139.41751809124278</v>
      </c>
      <c r="L108" s="1">
        <f t="shared" si="14"/>
        <v>54384.250700000121</v>
      </c>
      <c r="M108" s="38">
        <v>351.91199999999998</v>
      </c>
      <c r="N108" s="1">
        <f t="shared" si="15"/>
        <v>-239014.68425640464</v>
      </c>
      <c r="O108" s="35">
        <f t="shared" si="16"/>
        <v>5.3283888088506608E-3</v>
      </c>
    </row>
    <row r="109" spans="1:30" x14ac:dyDescent="0.2">
      <c r="A109" s="52">
        <v>39387</v>
      </c>
      <c r="B109" s="53">
        <v>51271030</v>
      </c>
      <c r="C109" s="29">
        <v>588.70000000000005</v>
      </c>
      <c r="D109" s="29">
        <v>0</v>
      </c>
      <c r="E109" s="53">
        <v>30</v>
      </c>
      <c r="F109" s="53">
        <v>1</v>
      </c>
      <c r="G109" s="53">
        <v>0</v>
      </c>
      <c r="H109" s="64">
        <v>5.6</v>
      </c>
      <c r="I109" s="53">
        <v>261.10000000000002</v>
      </c>
      <c r="J109" s="53">
        <f t="shared" si="13"/>
        <v>51505134.577477328</v>
      </c>
      <c r="K109" s="6">
        <v>139.64777745728242</v>
      </c>
      <c r="L109" s="1">
        <f t="shared" si="14"/>
        <v>54404.167400000122</v>
      </c>
      <c r="M109" s="38">
        <v>352.08</v>
      </c>
      <c r="N109" s="1">
        <f t="shared" si="15"/>
        <v>234104.57747732848</v>
      </c>
      <c r="O109" s="35">
        <f t="shared" si="16"/>
        <v>4.5660205671180874E-3</v>
      </c>
    </row>
    <row r="110" spans="1:30" x14ac:dyDescent="0.2">
      <c r="A110" s="52">
        <v>39417</v>
      </c>
      <c r="B110" s="53">
        <v>60289930</v>
      </c>
      <c r="C110" s="29">
        <v>833.8</v>
      </c>
      <c r="D110" s="29">
        <v>0</v>
      </c>
      <c r="E110" s="53">
        <v>31</v>
      </c>
      <c r="F110" s="53">
        <v>0</v>
      </c>
      <c r="G110" s="53">
        <v>0</v>
      </c>
      <c r="H110" s="64">
        <v>6.1</v>
      </c>
      <c r="I110" s="53">
        <v>258.60000000000002</v>
      </c>
      <c r="J110" s="53">
        <f t="shared" si="13"/>
        <v>60521418.292045474</v>
      </c>
      <c r="K110" s="6">
        <v>139.8784171153855</v>
      </c>
      <c r="L110" s="1">
        <f t="shared" si="14"/>
        <v>54424.084100000124</v>
      </c>
      <c r="M110" s="38">
        <v>304.29599999999999</v>
      </c>
      <c r="N110" s="1">
        <f t="shared" si="15"/>
        <v>231488.29204547405</v>
      </c>
      <c r="O110" s="35">
        <f t="shared" si="16"/>
        <v>3.8395846876165562E-3</v>
      </c>
    </row>
    <row r="111" spans="1:30" x14ac:dyDescent="0.2">
      <c r="A111" s="52">
        <v>39448</v>
      </c>
      <c r="B111" s="53">
        <v>61073577</v>
      </c>
      <c r="C111" s="55">
        <v>803.7</v>
      </c>
      <c r="D111" s="55">
        <v>0</v>
      </c>
      <c r="E111" s="53">
        <v>31</v>
      </c>
      <c r="F111" s="53">
        <v>0</v>
      </c>
      <c r="G111" s="53">
        <v>0</v>
      </c>
      <c r="H111" s="64">
        <v>6.7</v>
      </c>
      <c r="I111" s="53">
        <v>254.6</v>
      </c>
      <c r="J111" s="53">
        <f t="shared" si="13"/>
        <v>59701080.842147149</v>
      </c>
      <c r="K111" s="5">
        <v>139.98289565145978</v>
      </c>
      <c r="L111" s="1">
        <f t="shared" si="14"/>
        <v>54444.000800000125</v>
      </c>
      <c r="M111" s="39">
        <v>352</v>
      </c>
      <c r="N111" s="1">
        <f t="shared" si="15"/>
        <v>-1372496.1578528509</v>
      </c>
      <c r="O111" s="35">
        <f t="shared" si="16"/>
        <v>2.247283072764595E-2</v>
      </c>
    </row>
    <row r="112" spans="1:30" x14ac:dyDescent="0.2">
      <c r="A112" s="52">
        <v>39479</v>
      </c>
      <c r="B112" s="53">
        <v>58581393</v>
      </c>
      <c r="C112" s="55">
        <v>840.1</v>
      </c>
      <c r="D112" s="55">
        <v>0</v>
      </c>
      <c r="E112" s="53">
        <v>29</v>
      </c>
      <c r="F112" s="53">
        <v>0</v>
      </c>
      <c r="G112" s="53">
        <v>0</v>
      </c>
      <c r="H112" s="64">
        <v>6.6</v>
      </c>
      <c r="I112" s="53">
        <v>255.1</v>
      </c>
      <c r="J112" s="53">
        <f t="shared" si="13"/>
        <v>58275419.93161954</v>
      </c>
      <c r="K112" s="5">
        <v>140.08745222505209</v>
      </c>
      <c r="L112" s="1">
        <f t="shared" si="14"/>
        <v>54463.917500000127</v>
      </c>
      <c r="M112" s="39">
        <v>320</v>
      </c>
      <c r="N112" s="1">
        <f t="shared" si="15"/>
        <v>-305973.06838046014</v>
      </c>
      <c r="O112" s="35">
        <f t="shared" si="16"/>
        <v>5.2230418689507797E-3</v>
      </c>
    </row>
    <row r="113" spans="1:17" x14ac:dyDescent="0.2">
      <c r="A113" s="52">
        <v>39508</v>
      </c>
      <c r="B113" s="53">
        <v>57220339</v>
      </c>
      <c r="C113" s="55">
        <v>762.1</v>
      </c>
      <c r="D113" s="55">
        <v>0</v>
      </c>
      <c r="E113" s="53">
        <v>31</v>
      </c>
      <c r="F113" s="53">
        <v>1</v>
      </c>
      <c r="G113" s="53">
        <v>0</v>
      </c>
      <c r="H113" s="64">
        <v>6.9</v>
      </c>
      <c r="I113" s="53">
        <v>257.60000000000002</v>
      </c>
      <c r="J113" s="53">
        <f t="shared" si="13"/>
        <v>56789866.980957791</v>
      </c>
      <c r="K113" s="5">
        <v>140.19208689445054</v>
      </c>
      <c r="L113" s="1">
        <f t="shared" si="14"/>
        <v>54483.834200000128</v>
      </c>
      <c r="M113" s="39">
        <v>304</v>
      </c>
      <c r="N113" s="1">
        <f t="shared" si="15"/>
        <v>-430472.01904220879</v>
      </c>
      <c r="O113" s="35">
        <f t="shared" si="16"/>
        <v>7.5230595722651835E-3</v>
      </c>
    </row>
    <row r="114" spans="1:17" x14ac:dyDescent="0.2">
      <c r="A114" s="52">
        <v>39539</v>
      </c>
      <c r="B114" s="53">
        <v>45833475</v>
      </c>
      <c r="C114" s="55">
        <v>345.5</v>
      </c>
      <c r="D114" s="55">
        <v>0.4</v>
      </c>
      <c r="E114" s="53">
        <v>30</v>
      </c>
      <c r="F114" s="53">
        <v>1</v>
      </c>
      <c r="G114" s="53">
        <v>0</v>
      </c>
      <c r="H114" s="64">
        <v>6.9</v>
      </c>
      <c r="I114" s="53">
        <v>260.10000000000002</v>
      </c>
      <c r="J114" s="53">
        <f t="shared" si="13"/>
        <v>45364800.892612271</v>
      </c>
      <c r="K114" s="5">
        <v>140.29679971798677</v>
      </c>
      <c r="L114" s="1">
        <f t="shared" si="14"/>
        <v>54503.75090000013</v>
      </c>
      <c r="M114" s="39">
        <v>352</v>
      </c>
      <c r="N114" s="1">
        <f t="shared" si="15"/>
        <v>-468674.10738772899</v>
      </c>
      <c r="O114" s="35">
        <f t="shared" si="16"/>
        <v>1.0225585282105033E-2</v>
      </c>
    </row>
    <row r="115" spans="1:17" x14ac:dyDescent="0.2">
      <c r="A115" s="52">
        <v>39569</v>
      </c>
      <c r="B115" s="53">
        <v>42639861</v>
      </c>
      <c r="C115" s="55">
        <v>261</v>
      </c>
      <c r="D115" s="55">
        <v>0</v>
      </c>
      <c r="E115" s="53">
        <v>31</v>
      </c>
      <c r="F115" s="53">
        <v>1</v>
      </c>
      <c r="G115" s="53">
        <v>0</v>
      </c>
      <c r="H115" s="64">
        <v>6.4</v>
      </c>
      <c r="I115" s="53">
        <v>264.10000000000002</v>
      </c>
      <c r="J115" s="53">
        <f t="shared" si="13"/>
        <v>44477741.237593174</v>
      </c>
      <c r="K115" s="5">
        <v>140.40159075403594</v>
      </c>
      <c r="L115" s="1">
        <f t="shared" si="14"/>
        <v>54523.667600000132</v>
      </c>
      <c r="M115" s="39">
        <v>336</v>
      </c>
      <c r="N115" s="1">
        <f t="shared" si="15"/>
        <v>1837880.237593174</v>
      </c>
      <c r="O115" s="35">
        <f t="shared" si="16"/>
        <v>4.310239748654842E-2</v>
      </c>
    </row>
    <row r="116" spans="1:17" x14ac:dyDescent="0.2">
      <c r="A116" s="52">
        <v>39600</v>
      </c>
      <c r="B116" s="53">
        <v>41817235</v>
      </c>
      <c r="C116" s="55">
        <v>53.8</v>
      </c>
      <c r="D116" s="55">
        <v>26.2</v>
      </c>
      <c r="E116" s="53">
        <v>30</v>
      </c>
      <c r="F116" s="53">
        <v>0</v>
      </c>
      <c r="G116" s="53">
        <v>0</v>
      </c>
      <c r="H116" s="64">
        <v>5.8</v>
      </c>
      <c r="I116" s="53">
        <v>266.39999999999998</v>
      </c>
      <c r="J116" s="53">
        <f t="shared" si="13"/>
        <v>42282743.422429897</v>
      </c>
      <c r="K116" s="5">
        <v>140.50646006101687</v>
      </c>
      <c r="L116" s="1">
        <f t="shared" si="14"/>
        <v>54543.584300000133</v>
      </c>
      <c r="M116" s="39">
        <v>336</v>
      </c>
      <c r="N116" s="1">
        <f t="shared" si="15"/>
        <v>465508.42242989689</v>
      </c>
      <c r="O116" s="35">
        <f t="shared" si="16"/>
        <v>1.1131975187500965E-2</v>
      </c>
    </row>
    <row r="117" spans="1:17" x14ac:dyDescent="0.2">
      <c r="A117" s="52">
        <v>39630</v>
      </c>
      <c r="B117" s="53">
        <v>44576231</v>
      </c>
      <c r="C117" s="55">
        <v>11.5</v>
      </c>
      <c r="D117" s="55">
        <v>38.299999999999997</v>
      </c>
      <c r="E117" s="53">
        <v>31</v>
      </c>
      <c r="F117" s="53">
        <v>0</v>
      </c>
      <c r="G117" s="53">
        <v>0</v>
      </c>
      <c r="H117" s="64">
        <v>6</v>
      </c>
      <c r="I117" s="53">
        <v>269.60000000000002</v>
      </c>
      <c r="J117" s="53">
        <f t="shared" si="13"/>
        <v>43376895.074476801</v>
      </c>
      <c r="K117" s="5">
        <v>140.611407697392</v>
      </c>
      <c r="L117" s="1">
        <f t="shared" si="14"/>
        <v>54563.501000000135</v>
      </c>
      <c r="M117" s="39">
        <v>352</v>
      </c>
      <c r="N117" s="1">
        <f t="shared" si="15"/>
        <v>-1199335.9255231991</v>
      </c>
      <c r="O117" s="35">
        <f t="shared" si="16"/>
        <v>2.6905278858663468E-2</v>
      </c>
    </row>
    <row r="118" spans="1:17" x14ac:dyDescent="0.2">
      <c r="A118" s="52">
        <v>39661</v>
      </c>
      <c r="B118" s="53">
        <v>43512092</v>
      </c>
      <c r="C118" s="55">
        <v>35.700000000000003</v>
      </c>
      <c r="D118" s="55">
        <v>21.7</v>
      </c>
      <c r="E118" s="53">
        <v>31</v>
      </c>
      <c r="F118" s="53">
        <v>0</v>
      </c>
      <c r="G118" s="53">
        <v>0</v>
      </c>
      <c r="H118" s="64">
        <v>6.4</v>
      </c>
      <c r="I118" s="53">
        <v>270.60000000000002</v>
      </c>
      <c r="J118" s="53">
        <f t="shared" si="13"/>
        <v>42557199.784993157</v>
      </c>
      <c r="K118" s="5">
        <v>140.71643372166741</v>
      </c>
      <c r="L118" s="1">
        <f t="shared" si="14"/>
        <v>54583.417700000136</v>
      </c>
      <c r="M118" s="39">
        <v>320</v>
      </c>
      <c r="N118" s="1">
        <f t="shared" si="15"/>
        <v>-954892.21500684321</v>
      </c>
      <c r="O118" s="35">
        <f t="shared" si="16"/>
        <v>2.1945444843397627E-2</v>
      </c>
    </row>
    <row r="119" spans="1:17" x14ac:dyDescent="0.2">
      <c r="A119" s="52">
        <v>39692</v>
      </c>
      <c r="B119" s="53">
        <v>42133287</v>
      </c>
      <c r="C119" s="55">
        <v>151</v>
      </c>
      <c r="D119" s="55">
        <v>6.9</v>
      </c>
      <c r="E119" s="53">
        <v>30</v>
      </c>
      <c r="F119" s="53">
        <v>1</v>
      </c>
      <c r="G119" s="53">
        <v>0</v>
      </c>
      <c r="H119" s="64">
        <v>6.2</v>
      </c>
      <c r="I119" s="53">
        <v>271.10000000000002</v>
      </c>
      <c r="J119" s="53">
        <f t="shared" si="13"/>
        <v>41185682.24436222</v>
      </c>
      <c r="K119" s="5">
        <v>140.82153819239289</v>
      </c>
      <c r="L119" s="1">
        <f t="shared" si="14"/>
        <v>54603.334400000138</v>
      </c>
      <c r="M119" s="39">
        <v>336</v>
      </c>
      <c r="N119" s="1">
        <f t="shared" si="15"/>
        <v>-947604.75563777983</v>
      </c>
      <c r="O119" s="35">
        <f t="shared" si="16"/>
        <v>2.2490643932854795E-2</v>
      </c>
    </row>
    <row r="120" spans="1:17" x14ac:dyDescent="0.2">
      <c r="A120" s="52">
        <v>39722</v>
      </c>
      <c r="B120" s="53">
        <v>46526477</v>
      </c>
      <c r="C120" s="55">
        <v>381.4</v>
      </c>
      <c r="D120" s="55">
        <v>0.7</v>
      </c>
      <c r="E120" s="53">
        <v>31</v>
      </c>
      <c r="F120" s="53">
        <v>1</v>
      </c>
      <c r="G120" s="53">
        <v>0</v>
      </c>
      <c r="H120" s="64">
        <v>5.8</v>
      </c>
      <c r="I120" s="53">
        <v>270.89999999999998</v>
      </c>
      <c r="J120" s="53">
        <f t="shared" si="13"/>
        <v>47585926.0554986</v>
      </c>
      <c r="K120" s="5">
        <v>140.926721168162</v>
      </c>
      <c r="L120" s="1">
        <f t="shared" si="14"/>
        <v>54623.25110000014</v>
      </c>
      <c r="M120" s="39">
        <v>352</v>
      </c>
      <c r="N120" s="1">
        <f t="shared" si="15"/>
        <v>1059449.0554986</v>
      </c>
      <c r="O120" s="35">
        <f t="shared" si="16"/>
        <v>2.2770884962955609E-2</v>
      </c>
    </row>
    <row r="121" spans="1:17" x14ac:dyDescent="0.2">
      <c r="A121" s="52">
        <v>39753</v>
      </c>
      <c r="B121" s="53">
        <v>50346630</v>
      </c>
      <c r="C121" s="55">
        <v>559.4</v>
      </c>
      <c r="D121" s="55">
        <v>0</v>
      </c>
      <c r="E121" s="53">
        <v>30</v>
      </c>
      <c r="F121" s="53">
        <v>1</v>
      </c>
      <c r="G121" s="53">
        <v>0</v>
      </c>
      <c r="H121" s="64">
        <v>5.4</v>
      </c>
      <c r="I121" s="53">
        <v>267.7</v>
      </c>
      <c r="J121" s="53">
        <f t="shared" si="13"/>
        <v>50807120.919513986</v>
      </c>
      <c r="K121" s="5">
        <v>141.031982707612</v>
      </c>
      <c r="L121" s="1">
        <f t="shared" si="14"/>
        <v>54643.167800000141</v>
      </c>
      <c r="M121" s="39">
        <v>304</v>
      </c>
      <c r="N121" s="1">
        <f t="shared" si="15"/>
        <v>460490.91951398551</v>
      </c>
      <c r="O121" s="35">
        <f t="shared" si="16"/>
        <v>9.146409988394168E-3</v>
      </c>
    </row>
    <row r="122" spans="1:17" x14ac:dyDescent="0.2">
      <c r="A122" s="52">
        <v>39783</v>
      </c>
      <c r="B122" s="53">
        <v>60643394</v>
      </c>
      <c r="C122" s="55">
        <v>869.7</v>
      </c>
      <c r="D122" s="55">
        <v>0</v>
      </c>
      <c r="E122" s="53">
        <v>31</v>
      </c>
      <c r="F122" s="53">
        <v>0</v>
      </c>
      <c r="G122" s="53">
        <v>0</v>
      </c>
      <c r="H122" s="64">
        <v>5.8</v>
      </c>
      <c r="I122" s="53">
        <v>263.7</v>
      </c>
      <c r="J122" s="53">
        <f t="shared" si="13"/>
        <v>61446542.865604699</v>
      </c>
      <c r="K122" s="5">
        <v>141.13732286942397</v>
      </c>
      <c r="L122" s="1">
        <f>L121+19.9167</f>
        <v>54663.084500000143</v>
      </c>
      <c r="M122" s="39">
        <v>336</v>
      </c>
      <c r="N122" s="1">
        <f t="shared" si="15"/>
        <v>803148.86560469866</v>
      </c>
      <c r="O122" s="35">
        <f t="shared" si="16"/>
        <v>1.324379808961053E-2</v>
      </c>
    </row>
    <row r="123" spans="1:17" x14ac:dyDescent="0.2">
      <c r="A123" s="52">
        <v>39814</v>
      </c>
      <c r="B123" s="53">
        <v>66435130</v>
      </c>
      <c r="C123" s="54">
        <v>1046.0999999999999</v>
      </c>
      <c r="D123" s="54">
        <v>0</v>
      </c>
      <c r="E123" s="53">
        <v>31</v>
      </c>
      <c r="F123" s="53">
        <v>0</v>
      </c>
      <c r="G123" s="53">
        <v>0</v>
      </c>
      <c r="H123" s="64">
        <v>6</v>
      </c>
      <c r="I123" s="53">
        <v>258.2</v>
      </c>
      <c r="J123" s="53">
        <f t="shared" si="13"/>
        <v>65777650.304409258</v>
      </c>
      <c r="K123" s="5">
        <v>140.70675957794839</v>
      </c>
      <c r="L123" s="1">
        <f>+L122+(19.9167/2)</f>
        <v>54673.042850000144</v>
      </c>
      <c r="M123" s="39">
        <v>336</v>
      </c>
      <c r="N123" s="1">
        <f t="shared" si="15"/>
        <v>-657479.69559074193</v>
      </c>
      <c r="O123" s="35">
        <f t="shared" si="16"/>
        <v>9.8965667048554265E-3</v>
      </c>
    </row>
    <row r="124" spans="1:17" x14ac:dyDescent="0.2">
      <c r="A124" s="52">
        <v>39845</v>
      </c>
      <c r="B124" s="53">
        <v>54391300</v>
      </c>
      <c r="C124" s="54">
        <v>773.1</v>
      </c>
      <c r="D124" s="54">
        <v>0</v>
      </c>
      <c r="E124" s="53">
        <v>28</v>
      </c>
      <c r="F124" s="53">
        <v>0</v>
      </c>
      <c r="G124" s="53">
        <v>0</v>
      </c>
      <c r="H124" s="64">
        <v>6.7</v>
      </c>
      <c r="I124" s="53">
        <v>252.9</v>
      </c>
      <c r="J124" s="53">
        <f t="shared" si="13"/>
        <v>55439078.469239138</v>
      </c>
      <c r="K124" s="5">
        <v>140.27750979266801</v>
      </c>
      <c r="L124" s="1">
        <f>+L123+(19.9167/2)</f>
        <v>54683.001200000144</v>
      </c>
      <c r="M124" s="39">
        <v>304</v>
      </c>
      <c r="N124" s="1">
        <f t="shared" si="15"/>
        <v>1047778.4692391381</v>
      </c>
      <c r="O124" s="35">
        <f t="shared" si="16"/>
        <v>1.9263714403574432E-2</v>
      </c>
    </row>
    <row r="125" spans="1:17" x14ac:dyDescent="0.2">
      <c r="A125" s="52">
        <v>39873</v>
      </c>
      <c r="B125" s="53">
        <v>54188320</v>
      </c>
      <c r="C125" s="54">
        <v>671.1</v>
      </c>
      <c r="D125" s="54">
        <v>0</v>
      </c>
      <c r="E125" s="53">
        <v>31</v>
      </c>
      <c r="F125" s="53">
        <v>1</v>
      </c>
      <c r="G125" s="53">
        <v>0</v>
      </c>
      <c r="H125" s="64">
        <v>7.6</v>
      </c>
      <c r="I125" s="53">
        <v>248.4</v>
      </c>
      <c r="J125" s="53">
        <f t="shared" si="13"/>
        <v>54452593.225149527</v>
      </c>
      <c r="K125" s="5">
        <v>139.84956950650991</v>
      </c>
      <c r="L125" s="1">
        <f t="shared" ref="L125:L170" si="17">+L124+(19.9167/2)</f>
        <v>54692.959550000145</v>
      </c>
      <c r="M125" s="39">
        <v>352</v>
      </c>
      <c r="N125" s="1">
        <f t="shared" si="15"/>
        <v>264273.22514952719</v>
      </c>
      <c r="O125" s="35">
        <f t="shared" si="16"/>
        <v>4.8769407346366742E-3</v>
      </c>
    </row>
    <row r="126" spans="1:17" x14ac:dyDescent="0.2">
      <c r="A126" s="52">
        <v>39904</v>
      </c>
      <c r="B126" s="53">
        <v>45313310</v>
      </c>
      <c r="C126" s="54">
        <v>421.4</v>
      </c>
      <c r="D126" s="54">
        <v>0.09</v>
      </c>
      <c r="E126" s="53">
        <v>30</v>
      </c>
      <c r="F126" s="53">
        <v>1</v>
      </c>
      <c r="G126" s="53">
        <v>0</v>
      </c>
      <c r="H126" s="64">
        <v>8.6999999999999993</v>
      </c>
      <c r="I126" s="53">
        <v>245.2</v>
      </c>
      <c r="J126" s="53">
        <f t="shared" si="13"/>
        <v>46983104.817965001</v>
      </c>
      <c r="K126" s="5">
        <v>139.42293472462535</v>
      </c>
      <c r="L126" s="1">
        <f t="shared" si="17"/>
        <v>54702.917900000146</v>
      </c>
      <c r="M126" s="39">
        <v>320</v>
      </c>
      <c r="N126" s="1">
        <f t="shared" si="15"/>
        <v>1669794.8179650009</v>
      </c>
      <c r="O126" s="35">
        <f t="shared" si="16"/>
        <v>3.6849985533279311E-2</v>
      </c>
    </row>
    <row r="127" spans="1:17" x14ac:dyDescent="0.2">
      <c r="A127" s="52">
        <v>39934</v>
      </c>
      <c r="B127" s="53">
        <v>40746061.538461536</v>
      </c>
      <c r="C127" s="54">
        <v>257.10000000000002</v>
      </c>
      <c r="D127" s="54">
        <v>0</v>
      </c>
      <c r="E127" s="53">
        <v>31</v>
      </c>
      <c r="F127" s="53">
        <v>1</v>
      </c>
      <c r="G127" s="53">
        <v>0</v>
      </c>
      <c r="H127" s="64">
        <v>9.3000000000000007</v>
      </c>
      <c r="I127" s="53">
        <v>247</v>
      </c>
      <c r="J127" s="53">
        <f t="shared" si="13"/>
        <v>44009619.369593322</v>
      </c>
      <c r="K127" s="5">
        <v>138.99760146435258</v>
      </c>
      <c r="L127" s="1">
        <f t="shared" si="17"/>
        <v>54712.876250000147</v>
      </c>
      <c r="M127" s="39">
        <v>320</v>
      </c>
      <c r="N127" s="1">
        <f t="shared" si="15"/>
        <v>3263557.8311317861</v>
      </c>
      <c r="O127" s="35">
        <f t="shared" si="16"/>
        <v>8.0095049874972762E-2</v>
      </c>
      <c r="Q127" s="28"/>
    </row>
    <row r="128" spans="1:17" x14ac:dyDescent="0.2">
      <c r="A128" s="52">
        <v>39965</v>
      </c>
      <c r="B128" s="53">
        <v>41206069.230769232</v>
      </c>
      <c r="C128" s="54">
        <v>85.2</v>
      </c>
      <c r="D128" s="54">
        <v>34.1</v>
      </c>
      <c r="E128" s="53">
        <v>30</v>
      </c>
      <c r="F128" s="53">
        <v>0</v>
      </c>
      <c r="G128" s="53">
        <v>0</v>
      </c>
      <c r="H128" s="64">
        <v>9.1</v>
      </c>
      <c r="I128" s="53">
        <v>253.2</v>
      </c>
      <c r="J128" s="53">
        <f t="shared" si="13"/>
        <v>43285317.976728961</v>
      </c>
      <c r="K128" s="5">
        <v>138.57356575517966</v>
      </c>
      <c r="L128" s="1">
        <f t="shared" si="17"/>
        <v>54722.834600000147</v>
      </c>
      <c r="M128" s="39">
        <v>352</v>
      </c>
      <c r="N128" s="1">
        <f t="shared" si="15"/>
        <v>2079248.745959729</v>
      </c>
      <c r="O128" s="35">
        <f t="shared" si="16"/>
        <v>5.0459769271249018E-2</v>
      </c>
      <c r="Q128" s="28"/>
    </row>
    <row r="129" spans="1:17" x14ac:dyDescent="0.2">
      <c r="A129" s="52">
        <v>39995</v>
      </c>
      <c r="B129" s="53">
        <v>41748515.384615384</v>
      </c>
      <c r="C129" s="54">
        <v>46.3</v>
      </c>
      <c r="D129" s="54">
        <v>13.6</v>
      </c>
      <c r="E129" s="53">
        <v>31</v>
      </c>
      <c r="F129" s="53">
        <v>0</v>
      </c>
      <c r="G129" s="53">
        <v>0</v>
      </c>
      <c r="H129" s="64">
        <v>9.6</v>
      </c>
      <c r="I129" s="53">
        <v>258.7</v>
      </c>
      <c r="J129" s="53">
        <f t="shared" si="13"/>
        <v>41742144.226746045</v>
      </c>
      <c r="K129" s="5">
        <v>138.15082363870732</v>
      </c>
      <c r="L129" s="1">
        <f t="shared" si="17"/>
        <v>54732.792950000148</v>
      </c>
      <c r="M129" s="39">
        <v>352</v>
      </c>
      <c r="N129" s="1">
        <f t="shared" si="15"/>
        <v>-6371.1578693389893</v>
      </c>
      <c r="O129" s="35">
        <f t="shared" si="16"/>
        <v>1.5260801038416818E-4</v>
      </c>
      <c r="Q129" s="28"/>
    </row>
    <row r="130" spans="1:17" x14ac:dyDescent="0.2">
      <c r="A130" s="52">
        <v>40026</v>
      </c>
      <c r="B130" s="53">
        <v>42834530.769230768</v>
      </c>
      <c r="C130" s="54">
        <v>60.9</v>
      </c>
      <c r="D130" s="54">
        <v>35.6</v>
      </c>
      <c r="E130" s="53">
        <v>31</v>
      </c>
      <c r="F130" s="53">
        <v>0</v>
      </c>
      <c r="G130" s="53">
        <v>0</v>
      </c>
      <c r="H130" s="64">
        <v>9.9</v>
      </c>
      <c r="I130" s="53">
        <v>260.39999999999998</v>
      </c>
      <c r="J130" s="53">
        <f t="shared" si="13"/>
        <v>43874778.344826572</v>
      </c>
      <c r="K130" s="5">
        <v>137.72937116861209</v>
      </c>
      <c r="L130" s="1">
        <f t="shared" si="17"/>
        <v>54742.751300000149</v>
      </c>
      <c r="M130" s="39">
        <v>320</v>
      </c>
      <c r="N130" s="1">
        <f t="shared" si="15"/>
        <v>1040247.5755958036</v>
      </c>
      <c r="O130" s="35">
        <f t="shared" si="16"/>
        <v>2.4285256705625972E-2</v>
      </c>
      <c r="Q130" s="28"/>
    </row>
    <row r="131" spans="1:17" x14ac:dyDescent="0.2">
      <c r="A131" s="52">
        <v>40057</v>
      </c>
      <c r="B131" s="53">
        <v>40869246.153846152</v>
      </c>
      <c r="C131" s="54">
        <v>126.2</v>
      </c>
      <c r="D131" s="54">
        <v>4.9000000000000004</v>
      </c>
      <c r="E131" s="53">
        <v>30</v>
      </c>
      <c r="F131" s="53">
        <v>1</v>
      </c>
      <c r="G131" s="53">
        <v>0</v>
      </c>
      <c r="H131" s="64">
        <v>10.1</v>
      </c>
      <c r="I131" s="53">
        <v>255.3</v>
      </c>
      <c r="J131" s="53">
        <f t="shared" si="13"/>
        <v>39908571.774980262</v>
      </c>
      <c r="K131" s="5">
        <v>137.30920441060942</v>
      </c>
      <c r="L131" s="1">
        <f t="shared" si="17"/>
        <v>54752.70965000015</v>
      </c>
      <c r="M131" s="39">
        <v>336</v>
      </c>
      <c r="N131" s="1">
        <f t="shared" ref="N131:N162" si="18">J131-B131</f>
        <v>-960674.3788658902</v>
      </c>
      <c r="O131" s="35">
        <f t="shared" ref="O131:O162" si="19">ABS(N131/B131)</f>
        <v>2.3506045970350799E-2</v>
      </c>
      <c r="Q131" s="28"/>
    </row>
    <row r="132" spans="1:17" x14ac:dyDescent="0.2">
      <c r="A132" s="52">
        <v>40087</v>
      </c>
      <c r="B132" s="53">
        <v>46305269.230769232</v>
      </c>
      <c r="C132" s="54">
        <v>409.4</v>
      </c>
      <c r="D132" s="54">
        <v>0</v>
      </c>
      <c r="E132" s="53">
        <v>31</v>
      </c>
      <c r="F132" s="53">
        <v>1</v>
      </c>
      <c r="G132" s="53">
        <v>0</v>
      </c>
      <c r="H132" s="64">
        <v>9.6999999999999993</v>
      </c>
      <c r="I132" s="53">
        <v>249.3</v>
      </c>
      <c r="J132" s="53">
        <f t="shared" ref="J132:J195" si="20">$Q$19+C132*$Q$20+D132*$Q$21+E132*$Q$22+F132*$Q$23+G132*$Q$24+H132*$Q$25</f>
        <v>47719860.738985822</v>
      </c>
      <c r="K132" s="5">
        <v>136.89031944241697</v>
      </c>
      <c r="L132" s="1">
        <f t="shared" si="17"/>
        <v>54762.668000000151</v>
      </c>
      <c r="M132" s="39">
        <v>336</v>
      </c>
      <c r="N132" s="1">
        <f t="shared" si="18"/>
        <v>1414591.5082165897</v>
      </c>
      <c r="O132" s="35">
        <f t="shared" si="19"/>
        <v>3.0549255661742544E-2</v>
      </c>
      <c r="Q132" s="28"/>
    </row>
    <row r="133" spans="1:17" x14ac:dyDescent="0.2">
      <c r="A133" s="52">
        <v>40118</v>
      </c>
      <c r="B133" s="53">
        <v>47482200</v>
      </c>
      <c r="C133" s="54">
        <v>453.8</v>
      </c>
      <c r="D133" s="54">
        <v>0</v>
      </c>
      <c r="E133" s="53">
        <v>30</v>
      </c>
      <c r="F133" s="53">
        <v>1</v>
      </c>
      <c r="G133" s="53">
        <v>0</v>
      </c>
      <c r="H133" s="64">
        <v>9.3000000000000007</v>
      </c>
      <c r="I133" s="53">
        <v>246.5</v>
      </c>
      <c r="J133" s="53">
        <f t="shared" si="20"/>
        <v>47698993.402481109</v>
      </c>
      <c r="K133" s="5">
        <v>136.47271235371795</v>
      </c>
      <c r="L133" s="1">
        <f t="shared" si="17"/>
        <v>54772.626350000151</v>
      </c>
      <c r="M133" s="39">
        <v>320</v>
      </c>
      <c r="N133" s="1">
        <f t="shared" si="18"/>
        <v>216793.4024811089</v>
      </c>
      <c r="O133" s="35">
        <f t="shared" si="19"/>
        <v>4.5657825981338038E-3</v>
      </c>
      <c r="Q133" s="28"/>
    </row>
    <row r="134" spans="1:17" x14ac:dyDescent="0.2">
      <c r="A134" s="52">
        <v>40148</v>
      </c>
      <c r="B134" s="53">
        <v>58800730.769230768</v>
      </c>
      <c r="C134" s="54">
        <v>824.4</v>
      </c>
      <c r="D134" s="54">
        <v>0</v>
      </c>
      <c r="E134" s="53">
        <v>31</v>
      </c>
      <c r="F134" s="53">
        <v>0</v>
      </c>
      <c r="G134" s="53">
        <v>0</v>
      </c>
      <c r="H134" s="64">
        <v>9.4</v>
      </c>
      <c r="I134" s="53">
        <v>245.3</v>
      </c>
      <c r="J134" s="53">
        <f t="shared" si="20"/>
        <v>59866174.104677103</v>
      </c>
      <c r="K134" s="5">
        <v>136.05637924612469</v>
      </c>
      <c r="L134" s="1">
        <f t="shared" si="17"/>
        <v>54782.584700000152</v>
      </c>
      <c r="M134" s="39">
        <v>352</v>
      </c>
      <c r="N134" s="1">
        <f t="shared" si="18"/>
        <v>1065443.3354463354</v>
      </c>
      <c r="O134" s="35">
        <f t="shared" si="19"/>
        <v>1.8119559425677414E-2</v>
      </c>
      <c r="Q134" s="28"/>
    </row>
    <row r="135" spans="1:17" x14ac:dyDescent="0.2">
      <c r="A135" s="52">
        <v>40179</v>
      </c>
      <c r="B135" s="53">
        <v>61714800.000000007</v>
      </c>
      <c r="C135" s="54">
        <v>887.4</v>
      </c>
      <c r="D135" s="54">
        <v>0</v>
      </c>
      <c r="E135" s="53">
        <v>31</v>
      </c>
      <c r="F135" s="53">
        <v>0</v>
      </c>
      <c r="G135" s="53">
        <v>0</v>
      </c>
      <c r="H135" s="64">
        <v>9.3000000000000007</v>
      </c>
      <c r="I135" s="53">
        <v>245.8</v>
      </c>
      <c r="J135" s="53">
        <f t="shared" si="20"/>
        <v>61434976.46728158</v>
      </c>
      <c r="K135" s="5">
        <v>136.41398125617567</v>
      </c>
      <c r="L135" s="1">
        <f t="shared" si="17"/>
        <v>54792.543050000153</v>
      </c>
      <c r="M135" s="39">
        <v>320</v>
      </c>
      <c r="N135" s="1">
        <f t="shared" si="18"/>
        <v>-279823.53271842748</v>
      </c>
      <c r="O135" s="35">
        <f t="shared" si="19"/>
        <v>4.534139828994462E-3</v>
      </c>
      <c r="Q135" s="28"/>
    </row>
    <row r="136" spans="1:17" x14ac:dyDescent="0.2">
      <c r="A136" s="52">
        <v>40210</v>
      </c>
      <c r="B136" s="53">
        <v>54321930.769230768</v>
      </c>
      <c r="C136" s="54">
        <v>753</v>
      </c>
      <c r="D136" s="54">
        <v>0</v>
      </c>
      <c r="E136" s="53">
        <v>28</v>
      </c>
      <c r="F136" s="53">
        <v>0</v>
      </c>
      <c r="G136" s="53">
        <v>0</v>
      </c>
      <c r="H136" s="64">
        <v>9.4</v>
      </c>
      <c r="I136" s="53">
        <v>243.5</v>
      </c>
      <c r="J136" s="53">
        <f t="shared" si="20"/>
        <v>54596488.344560929</v>
      </c>
      <c r="K136" s="5">
        <v>136.77252316480622</v>
      </c>
      <c r="L136" s="1">
        <f t="shared" si="17"/>
        <v>54802.501400000154</v>
      </c>
      <c r="M136" s="39">
        <v>304</v>
      </c>
      <c r="N136" s="1">
        <f t="shared" si="18"/>
        <v>274557.57533016056</v>
      </c>
      <c r="O136" s="35">
        <f t="shared" si="19"/>
        <v>5.054267612403727E-3</v>
      </c>
      <c r="Q136" s="28"/>
    </row>
    <row r="137" spans="1:17" x14ac:dyDescent="0.2">
      <c r="A137" s="52">
        <v>40238</v>
      </c>
      <c r="B137" s="53">
        <v>50859730.769230768</v>
      </c>
      <c r="C137" s="54">
        <v>501.3</v>
      </c>
      <c r="D137" s="54">
        <v>0</v>
      </c>
      <c r="E137" s="53">
        <v>31</v>
      </c>
      <c r="F137" s="53">
        <v>1</v>
      </c>
      <c r="G137" s="53">
        <v>0</v>
      </c>
      <c r="H137" s="64">
        <v>10.199999999999999</v>
      </c>
      <c r="I137" s="53">
        <v>242.2</v>
      </c>
      <c r="J137" s="53">
        <f t="shared" si="20"/>
        <v>49925514.863586135</v>
      </c>
      <c r="K137" s="5">
        <v>137.13200744238648</v>
      </c>
      <c r="L137" s="1">
        <f t="shared" si="17"/>
        <v>54812.459750000155</v>
      </c>
      <c r="M137" s="39">
        <v>368</v>
      </c>
      <c r="N137" s="1">
        <f t="shared" si="18"/>
        <v>-934215.90564463288</v>
      </c>
      <c r="O137" s="35">
        <f t="shared" si="19"/>
        <v>1.8368479178222801E-2</v>
      </c>
      <c r="Q137" s="28"/>
    </row>
    <row r="138" spans="1:17" x14ac:dyDescent="0.2">
      <c r="A138" s="52">
        <v>40269</v>
      </c>
      <c r="B138" s="53">
        <v>44050484.615384616</v>
      </c>
      <c r="C138" s="54">
        <v>314.5</v>
      </c>
      <c r="D138" s="54">
        <v>0.1</v>
      </c>
      <c r="E138" s="53">
        <v>30</v>
      </c>
      <c r="F138" s="53">
        <v>1</v>
      </c>
      <c r="G138" s="53">
        <v>0</v>
      </c>
      <c r="H138" s="64">
        <v>10.4</v>
      </c>
      <c r="I138" s="53">
        <v>245.3</v>
      </c>
      <c r="J138" s="53">
        <f t="shared" si="20"/>
        <v>44125747.257074021</v>
      </c>
      <c r="K138" s="5">
        <v>137.49243656577963</v>
      </c>
      <c r="L138" s="1">
        <f t="shared" si="17"/>
        <v>54822.418100000155</v>
      </c>
      <c r="M138" s="39">
        <v>320</v>
      </c>
      <c r="N138" s="1">
        <f t="shared" si="18"/>
        <v>75262.641689404845</v>
      </c>
      <c r="O138" s="35">
        <f t="shared" si="19"/>
        <v>1.7085542269634736E-3</v>
      </c>
      <c r="Q138" s="28"/>
    </row>
    <row r="139" spans="1:17" x14ac:dyDescent="0.2">
      <c r="A139" s="52">
        <v>40299</v>
      </c>
      <c r="B139" s="53">
        <v>44651823.07692308</v>
      </c>
      <c r="C139" s="54">
        <v>147.69999999999999</v>
      </c>
      <c r="D139" s="54">
        <v>29.2</v>
      </c>
      <c r="E139" s="53">
        <v>31</v>
      </c>
      <c r="F139" s="53">
        <v>1</v>
      </c>
      <c r="G139" s="53">
        <v>0</v>
      </c>
      <c r="H139" s="64">
        <v>10.5</v>
      </c>
      <c r="I139" s="53">
        <v>249.4</v>
      </c>
      <c r="J139" s="53">
        <f t="shared" si="20"/>
        <v>43556828.798874915</v>
      </c>
      <c r="K139" s="5">
        <v>137.85381301835881</v>
      </c>
      <c r="L139" s="1">
        <f t="shared" si="17"/>
        <v>54832.376450000156</v>
      </c>
      <c r="M139" s="39">
        <v>320</v>
      </c>
      <c r="N139" s="1">
        <f t="shared" si="18"/>
        <v>-1094994.2780481651</v>
      </c>
      <c r="O139" s="35">
        <f t="shared" si="19"/>
        <v>2.4522946715115856E-2</v>
      </c>
      <c r="Q139" s="28"/>
    </row>
    <row r="140" spans="1:17" x14ac:dyDescent="0.2">
      <c r="A140" s="52">
        <v>40330</v>
      </c>
      <c r="B140" s="53">
        <v>42680284.615384616</v>
      </c>
      <c r="C140" s="54">
        <v>71.2</v>
      </c>
      <c r="D140" s="54">
        <v>7.1</v>
      </c>
      <c r="E140" s="53">
        <v>30</v>
      </c>
      <c r="F140" s="53">
        <v>0</v>
      </c>
      <c r="G140" s="53">
        <v>0</v>
      </c>
      <c r="H140" s="64">
        <v>9.1</v>
      </c>
      <c r="I140" s="53">
        <v>259.2</v>
      </c>
      <c r="J140" s="53">
        <f t="shared" si="20"/>
        <v>40717562.674242184</v>
      </c>
      <c r="K140" s="5">
        <v>138.21613929002433</v>
      </c>
      <c r="L140" s="1">
        <f t="shared" si="17"/>
        <v>54842.334800000157</v>
      </c>
      <c r="M140" s="39">
        <v>352</v>
      </c>
      <c r="N140" s="1">
        <f t="shared" si="18"/>
        <v>-1962721.9411424324</v>
      </c>
      <c r="O140" s="35">
        <f t="shared" si="19"/>
        <v>4.5986617915733059E-2</v>
      </c>
      <c r="Q140" s="28"/>
    </row>
    <row r="141" spans="1:17" x14ac:dyDescent="0.2">
      <c r="A141" s="52">
        <v>40360</v>
      </c>
      <c r="B141" s="53">
        <v>47940330.769230768</v>
      </c>
      <c r="C141" s="54">
        <v>11</v>
      </c>
      <c r="D141" s="54">
        <v>90.4</v>
      </c>
      <c r="E141" s="53">
        <v>31</v>
      </c>
      <c r="F141" s="53">
        <v>0</v>
      </c>
      <c r="G141" s="53">
        <v>0</v>
      </c>
      <c r="H141" s="64">
        <v>9</v>
      </c>
      <c r="I141" s="53">
        <v>261.10000000000002</v>
      </c>
      <c r="J141" s="53">
        <f t="shared" si="20"/>
        <v>47267527.675160833</v>
      </c>
      <c r="K141" s="5">
        <v>138.57941787722081</v>
      </c>
      <c r="L141" s="1">
        <f t="shared" si="17"/>
        <v>54852.293150000158</v>
      </c>
      <c r="M141" s="39">
        <v>336</v>
      </c>
      <c r="N141" s="1">
        <f t="shared" si="18"/>
        <v>-672803.09406993538</v>
      </c>
      <c r="O141" s="35">
        <f t="shared" si="19"/>
        <v>1.4034177138004984E-2</v>
      </c>
      <c r="Q141" s="28"/>
    </row>
    <row r="142" spans="1:17" x14ac:dyDescent="0.2">
      <c r="A142" s="52">
        <v>40391</v>
      </c>
      <c r="B142" s="53">
        <v>46659623.07692308</v>
      </c>
      <c r="C142" s="54">
        <v>29.4</v>
      </c>
      <c r="D142" s="54">
        <v>69.7</v>
      </c>
      <c r="E142" s="53">
        <v>31</v>
      </c>
      <c r="F142" s="53">
        <v>0</v>
      </c>
      <c r="G142" s="53">
        <v>0</v>
      </c>
      <c r="H142" s="64">
        <v>9.1</v>
      </c>
      <c r="I142" s="53">
        <v>261.2</v>
      </c>
      <c r="J142" s="53">
        <f t="shared" si="20"/>
        <v>46005633.24261339</v>
      </c>
      <c r="K142" s="5">
        <v>138.94365128295433</v>
      </c>
      <c r="L142" s="1">
        <f t="shared" si="17"/>
        <v>54862.251500000159</v>
      </c>
      <c r="M142" s="39">
        <v>336</v>
      </c>
      <c r="N142" s="1">
        <f t="shared" si="18"/>
        <v>-653989.8343096897</v>
      </c>
      <c r="O142" s="35">
        <f t="shared" si="19"/>
        <v>1.4016183397613858E-2</v>
      </c>
      <c r="Q142" s="28"/>
    </row>
    <row r="143" spans="1:17" x14ac:dyDescent="0.2">
      <c r="A143" s="52">
        <v>40422</v>
      </c>
      <c r="B143" s="53">
        <v>43088392.307692312</v>
      </c>
      <c r="C143" s="54">
        <v>177.3</v>
      </c>
      <c r="D143" s="54">
        <v>11.8</v>
      </c>
      <c r="E143" s="53">
        <v>30</v>
      </c>
      <c r="F143" s="53">
        <v>1</v>
      </c>
      <c r="G143" s="53">
        <v>0</v>
      </c>
      <c r="H143" s="64">
        <v>9</v>
      </c>
      <c r="I143" s="53">
        <v>258.7</v>
      </c>
      <c r="J143" s="53">
        <f t="shared" si="20"/>
        <v>41879512.840636335</v>
      </c>
      <c r="K143" s="5">
        <v>139.30884201680979</v>
      </c>
      <c r="L143" s="1">
        <f t="shared" si="17"/>
        <v>54872.209850000159</v>
      </c>
      <c r="M143" s="39">
        <v>336</v>
      </c>
      <c r="N143" s="1">
        <f t="shared" si="18"/>
        <v>-1208879.4670559764</v>
      </c>
      <c r="O143" s="35">
        <f t="shared" si="19"/>
        <v>2.8055803484693078E-2</v>
      </c>
      <c r="Q143" s="28"/>
    </row>
    <row r="144" spans="1:17" x14ac:dyDescent="0.2">
      <c r="A144" s="52">
        <v>40452</v>
      </c>
      <c r="B144" s="53">
        <v>45676969.230769232</v>
      </c>
      <c r="C144" s="54">
        <v>369.8</v>
      </c>
      <c r="D144" s="54">
        <v>0</v>
      </c>
      <c r="E144" s="53">
        <v>31</v>
      </c>
      <c r="F144" s="53">
        <v>1</v>
      </c>
      <c r="G144" s="53">
        <v>0</v>
      </c>
      <c r="H144" s="64">
        <v>8.1</v>
      </c>
      <c r="I144" s="53">
        <v>257.8</v>
      </c>
      <c r="J144" s="53">
        <f t="shared" si="20"/>
        <v>46946945.686753444</v>
      </c>
      <c r="K144" s="5">
        <v>139.67499259496805</v>
      </c>
      <c r="L144" s="1">
        <f t="shared" si="17"/>
        <v>54882.16820000016</v>
      </c>
      <c r="M144" s="39">
        <v>320</v>
      </c>
      <c r="N144" s="1">
        <f t="shared" si="18"/>
        <v>1269976.4559842125</v>
      </c>
      <c r="O144" s="35">
        <f t="shared" si="19"/>
        <v>2.7803430861798997E-2</v>
      </c>
      <c r="Q144" s="28"/>
    </row>
    <row r="145" spans="1:17" x14ac:dyDescent="0.2">
      <c r="A145" s="52">
        <v>40483</v>
      </c>
      <c r="B145" s="53">
        <v>50732084.615384623</v>
      </c>
      <c r="C145" s="54">
        <v>526.1</v>
      </c>
      <c r="D145" s="54">
        <v>0</v>
      </c>
      <c r="E145" s="53">
        <v>30</v>
      </c>
      <c r="F145" s="53">
        <v>1</v>
      </c>
      <c r="G145" s="53">
        <v>0</v>
      </c>
      <c r="H145" s="64">
        <v>6.7</v>
      </c>
      <c r="I145" s="53">
        <v>258.7</v>
      </c>
      <c r="J145" s="53">
        <f t="shared" si="20"/>
        <v>49818004.846083805</v>
      </c>
      <c r="K145" s="5">
        <v>140.04210554022336</v>
      </c>
      <c r="L145" s="1">
        <f t="shared" si="17"/>
        <v>54892.126550000161</v>
      </c>
      <c r="M145" s="39">
        <v>336</v>
      </c>
      <c r="N145" s="1">
        <f t="shared" si="18"/>
        <v>-914079.76930081844</v>
      </c>
      <c r="O145" s="35">
        <f t="shared" si="19"/>
        <v>1.8017784528878231E-2</v>
      </c>
      <c r="Q145" s="28"/>
    </row>
    <row r="146" spans="1:17" x14ac:dyDescent="0.2">
      <c r="A146" s="52">
        <v>40513</v>
      </c>
      <c r="B146" s="53">
        <v>59729500.000000007</v>
      </c>
      <c r="C146" s="54">
        <v>812.9</v>
      </c>
      <c r="D146" s="54">
        <v>0</v>
      </c>
      <c r="E146" s="53">
        <v>31</v>
      </c>
      <c r="F146" s="53">
        <v>0</v>
      </c>
      <c r="G146" s="53">
        <v>0</v>
      </c>
      <c r="H146" s="64">
        <v>6.4</v>
      </c>
      <c r="I146" s="53">
        <v>256.39999999999998</v>
      </c>
      <c r="J146" s="53">
        <f t="shared" si="20"/>
        <v>59966765.552018672</v>
      </c>
      <c r="K146" s="5">
        <v>140.4101833820007</v>
      </c>
      <c r="L146" s="1">
        <f t="shared" si="17"/>
        <v>54902.084900000162</v>
      </c>
      <c r="M146" s="39">
        <v>368</v>
      </c>
      <c r="N146" s="1">
        <f t="shared" si="18"/>
        <v>237265.55201866478</v>
      </c>
      <c r="O146" s="35">
        <f t="shared" si="19"/>
        <v>3.9723344749020961E-3</v>
      </c>
      <c r="Q146" s="28"/>
    </row>
    <row r="147" spans="1:17" x14ac:dyDescent="0.2">
      <c r="A147" s="52">
        <v>40544</v>
      </c>
      <c r="B147" s="53">
        <v>64609346.153846152</v>
      </c>
      <c r="C147" s="54">
        <v>984.2</v>
      </c>
      <c r="D147" s="54">
        <v>0</v>
      </c>
      <c r="E147" s="53">
        <v>31</v>
      </c>
      <c r="F147" s="53">
        <v>0</v>
      </c>
      <c r="G147" s="53">
        <v>0</v>
      </c>
      <c r="H147" s="64">
        <v>6.5</v>
      </c>
      <c r="I147" s="53">
        <v>257.5</v>
      </c>
      <c r="J147" s="53">
        <f t="shared" si="20"/>
        <v>64184733.229190536</v>
      </c>
      <c r="K147" s="5">
        <v>140.66504232107786</v>
      </c>
      <c r="L147" s="1">
        <f t="shared" si="17"/>
        <v>54912.043250000163</v>
      </c>
      <c r="M147" s="39">
        <f t="shared" ref="M147:M153" si="21">+M135</f>
        <v>320</v>
      </c>
      <c r="N147" s="1">
        <f t="shared" si="18"/>
        <v>-424612.92465561628</v>
      </c>
      <c r="O147" s="35">
        <f t="shared" si="19"/>
        <v>6.5720046701066848E-3</v>
      </c>
      <c r="Q147" s="28"/>
    </row>
    <row r="148" spans="1:17" x14ac:dyDescent="0.2">
      <c r="A148" s="52">
        <v>40575</v>
      </c>
      <c r="B148" s="53">
        <v>56418838.461538471</v>
      </c>
      <c r="C148" s="54">
        <v>798.2</v>
      </c>
      <c r="D148" s="54">
        <v>0</v>
      </c>
      <c r="E148" s="53">
        <v>28</v>
      </c>
      <c r="F148" s="53">
        <v>0</v>
      </c>
      <c r="G148" s="53">
        <v>0</v>
      </c>
      <c r="H148" s="64">
        <v>7.3</v>
      </c>
      <c r="I148" s="53">
        <v>256.2</v>
      </c>
      <c r="J148" s="53">
        <f t="shared" si="20"/>
        <v>55982077.3667401</v>
      </c>
      <c r="K148" s="5">
        <v>140.920363855369</v>
      </c>
      <c r="L148" s="1">
        <f t="shared" si="17"/>
        <v>54922.001600000163</v>
      </c>
      <c r="M148" s="39">
        <f t="shared" si="21"/>
        <v>304</v>
      </c>
      <c r="N148" s="1">
        <f t="shared" si="18"/>
        <v>-436761.0947983712</v>
      </c>
      <c r="O148" s="35">
        <f t="shared" si="19"/>
        <v>7.7414052949019412E-3</v>
      </c>
      <c r="Q148" s="28"/>
    </row>
    <row r="149" spans="1:17" x14ac:dyDescent="0.2">
      <c r="A149" s="52">
        <v>40603</v>
      </c>
      <c r="B149" s="53">
        <v>57187261.538461544</v>
      </c>
      <c r="C149" s="54">
        <v>742.1</v>
      </c>
      <c r="D149" s="54">
        <v>0</v>
      </c>
      <c r="E149" s="53">
        <v>31</v>
      </c>
      <c r="F149" s="53">
        <v>1</v>
      </c>
      <c r="G149" s="53">
        <v>0</v>
      </c>
      <c r="H149" s="64">
        <v>8.5</v>
      </c>
      <c r="I149" s="53">
        <v>255.4</v>
      </c>
      <c r="J149" s="53">
        <f t="shared" si="20"/>
        <v>56090773.947954707</v>
      </c>
      <c r="K149" s="5">
        <v>141.17614882453208</v>
      </c>
      <c r="L149" s="1">
        <f t="shared" si="17"/>
        <v>54931.959950000164</v>
      </c>
      <c r="M149" s="39">
        <f t="shared" si="21"/>
        <v>368</v>
      </c>
      <c r="N149" s="1">
        <f t="shared" si="18"/>
        <v>-1096487.5905068368</v>
      </c>
      <c r="O149" s="35">
        <f t="shared" si="19"/>
        <v>1.9173633445787385E-2</v>
      </c>
      <c r="Q149" s="28"/>
    </row>
    <row r="150" spans="1:17" x14ac:dyDescent="0.2">
      <c r="A150" s="52">
        <v>40634</v>
      </c>
      <c r="B150" s="53">
        <v>47356076.923076928</v>
      </c>
      <c r="C150" s="54">
        <v>443.5</v>
      </c>
      <c r="D150" s="54">
        <v>0</v>
      </c>
      <c r="E150" s="53">
        <v>30</v>
      </c>
      <c r="F150" s="53">
        <v>1</v>
      </c>
      <c r="G150" s="53">
        <v>0</v>
      </c>
      <c r="H150" s="64">
        <v>8.9</v>
      </c>
      <c r="I150" s="53">
        <v>255.2</v>
      </c>
      <c r="J150" s="53">
        <f t="shared" si="20"/>
        <v>47495885.390528813</v>
      </c>
      <c r="K150" s="5">
        <v>141.4323980697491</v>
      </c>
      <c r="L150" s="1">
        <f t="shared" si="17"/>
        <v>54941.918300000165</v>
      </c>
      <c r="M150" s="39">
        <f t="shared" si="21"/>
        <v>320</v>
      </c>
      <c r="N150" s="1">
        <f t="shared" si="18"/>
        <v>139808.46745188534</v>
      </c>
      <c r="O150" s="35">
        <f t="shared" si="19"/>
        <v>2.9522814501501868E-3</v>
      </c>
      <c r="Q150" s="28"/>
    </row>
    <row r="151" spans="1:17" x14ac:dyDescent="0.2">
      <c r="A151" s="52">
        <v>40664</v>
      </c>
      <c r="B151" s="53">
        <v>43036769.230769232</v>
      </c>
      <c r="C151" s="54">
        <v>175.1</v>
      </c>
      <c r="D151" s="54">
        <v>6.9</v>
      </c>
      <c r="E151" s="53">
        <v>31</v>
      </c>
      <c r="F151" s="53">
        <v>1</v>
      </c>
      <c r="G151" s="53">
        <v>0</v>
      </c>
      <c r="H151" s="64">
        <v>9.4</v>
      </c>
      <c r="I151" s="53">
        <v>257.8</v>
      </c>
      <c r="J151" s="53">
        <f t="shared" si="20"/>
        <v>42539392.424485199</v>
      </c>
      <c r="K151" s="5">
        <v>141.68911243372889</v>
      </c>
      <c r="L151" s="1">
        <f t="shared" si="17"/>
        <v>54951.876650000166</v>
      </c>
      <c r="M151" s="39">
        <f t="shared" si="21"/>
        <v>320</v>
      </c>
      <c r="N151" s="1">
        <f t="shared" si="18"/>
        <v>-497376.80628403276</v>
      </c>
      <c r="O151" s="35">
        <f t="shared" si="19"/>
        <v>1.1557020082456192E-2</v>
      </c>
      <c r="Q151" s="28"/>
    </row>
    <row r="152" spans="1:17" x14ac:dyDescent="0.2">
      <c r="A152" s="52">
        <v>40695</v>
      </c>
      <c r="B152" s="53">
        <v>42724253.846153848</v>
      </c>
      <c r="C152" s="54">
        <v>65.7</v>
      </c>
      <c r="D152" s="54">
        <v>22.2</v>
      </c>
      <c r="E152" s="53">
        <v>30</v>
      </c>
      <c r="F152" s="53">
        <v>0</v>
      </c>
      <c r="G152" s="53">
        <v>0</v>
      </c>
      <c r="H152" s="64">
        <v>9.1</v>
      </c>
      <c r="I152" s="53">
        <v>261.8</v>
      </c>
      <c r="J152" s="53">
        <f t="shared" si="20"/>
        <v>41824386.780723512</v>
      </c>
      <c r="K152" s="5">
        <v>141.94629276070989</v>
      </c>
      <c r="L152" s="1">
        <f t="shared" si="17"/>
        <v>54961.835000000166</v>
      </c>
      <c r="M152" s="39">
        <f t="shared" si="21"/>
        <v>352</v>
      </c>
      <c r="N152" s="1">
        <f t="shared" si="18"/>
        <v>-899867.0654303357</v>
      </c>
      <c r="O152" s="35">
        <f t="shared" si="19"/>
        <v>2.106220669577227E-2</v>
      </c>
      <c r="Q152" s="28"/>
    </row>
    <row r="153" spans="1:17" x14ac:dyDescent="0.2">
      <c r="A153" s="52">
        <v>40725</v>
      </c>
      <c r="B153" s="53">
        <v>47506515.384615384</v>
      </c>
      <c r="C153" s="54">
        <v>2.9</v>
      </c>
      <c r="D153" s="54">
        <v>85.4</v>
      </c>
      <c r="E153" s="54">
        <v>31</v>
      </c>
      <c r="F153" s="53">
        <v>0</v>
      </c>
      <c r="G153" s="53">
        <v>0</v>
      </c>
      <c r="H153" s="64">
        <v>9</v>
      </c>
      <c r="I153" s="53">
        <v>264.60000000000002</v>
      </c>
      <c r="J153" s="53">
        <f t="shared" si="20"/>
        <v>46655994.812610768</v>
      </c>
      <c r="K153" s="5">
        <v>142.20393989646294</v>
      </c>
      <c r="L153" s="1">
        <f t="shared" si="17"/>
        <v>54971.793350000167</v>
      </c>
      <c r="M153" s="12">
        <f t="shared" si="21"/>
        <v>336</v>
      </c>
      <c r="N153" s="1">
        <f t="shared" si="18"/>
        <v>-850520.57200461626</v>
      </c>
      <c r="O153" s="35">
        <f t="shared" si="19"/>
        <v>1.7903240536982234E-2</v>
      </c>
      <c r="Q153" s="28"/>
    </row>
    <row r="154" spans="1:17" x14ac:dyDescent="0.2">
      <c r="A154" s="52">
        <v>40756</v>
      </c>
      <c r="B154" s="53">
        <v>45624407.692307696</v>
      </c>
      <c r="C154" s="54">
        <v>16.7</v>
      </c>
      <c r="D154" s="54">
        <v>45.9</v>
      </c>
      <c r="E154" s="53">
        <v>31</v>
      </c>
      <c r="F154" s="53">
        <v>0</v>
      </c>
      <c r="G154" s="53">
        <v>0</v>
      </c>
      <c r="H154" s="64">
        <v>8.6</v>
      </c>
      <c r="I154" s="53">
        <v>266.60000000000002</v>
      </c>
      <c r="J154" s="53">
        <f t="shared" si="20"/>
        <v>43797434.774237633</v>
      </c>
      <c r="K154" s="5">
        <v>142.46205468829399</v>
      </c>
      <c r="L154" s="1">
        <f t="shared" si="17"/>
        <v>54981.751700000168</v>
      </c>
      <c r="M154" s="39">
        <f>(31-8-1)*16</f>
        <v>352</v>
      </c>
      <c r="N154" s="1">
        <f t="shared" si="18"/>
        <v>-1826972.918070063</v>
      </c>
      <c r="O154" s="35">
        <f t="shared" si="19"/>
        <v>4.0043761891468715E-2</v>
      </c>
      <c r="Q154" s="28"/>
    </row>
    <row r="155" spans="1:17" x14ac:dyDescent="0.2">
      <c r="A155" s="52">
        <v>40787</v>
      </c>
      <c r="B155" s="53">
        <v>42233746.15384616</v>
      </c>
      <c r="C155" s="54">
        <v>116.4</v>
      </c>
      <c r="D155" s="54">
        <v>17.899999999999999</v>
      </c>
      <c r="E155" s="53">
        <v>30</v>
      </c>
      <c r="F155" s="53">
        <v>1</v>
      </c>
      <c r="G155" s="53">
        <v>0</v>
      </c>
      <c r="H155" s="64">
        <v>8.4</v>
      </c>
      <c r="I155" s="53">
        <v>266.39999999999998</v>
      </c>
      <c r="J155" s="53">
        <f t="shared" si="20"/>
        <v>40954324.415484615</v>
      </c>
      <c r="K155" s="5">
        <v>142.72063798504701</v>
      </c>
      <c r="L155" s="1">
        <f t="shared" si="17"/>
        <v>54991.710050000169</v>
      </c>
      <c r="M155" s="39">
        <f>(30-8)*16</f>
        <v>352</v>
      </c>
      <c r="N155" s="1">
        <f t="shared" si="18"/>
        <v>-1279421.7383615449</v>
      </c>
      <c r="O155" s="35">
        <f t="shared" si="19"/>
        <v>3.0293825551277319E-2</v>
      </c>
      <c r="Q155" s="28"/>
    </row>
    <row r="156" spans="1:17" x14ac:dyDescent="0.2">
      <c r="A156" s="52">
        <v>40817</v>
      </c>
      <c r="B156" s="53">
        <v>43980523.07692308</v>
      </c>
      <c r="C156" s="54">
        <v>295.3</v>
      </c>
      <c r="D156" s="54">
        <v>1.5</v>
      </c>
      <c r="E156" s="53">
        <v>31</v>
      </c>
      <c r="F156" s="53">
        <v>1</v>
      </c>
      <c r="G156" s="53">
        <v>0</v>
      </c>
      <c r="H156" s="64">
        <v>7.6</v>
      </c>
      <c r="I156" s="53">
        <v>264.60000000000002</v>
      </c>
      <c r="J156" s="53">
        <f t="shared" si="20"/>
        <v>45294482.310783505</v>
      </c>
      <c r="K156" s="5">
        <v>142.97969063710661</v>
      </c>
      <c r="L156" s="1">
        <f t="shared" si="17"/>
        <v>55001.66840000017</v>
      </c>
      <c r="M156" s="39">
        <f>(31-10-1)*16</f>
        <v>320</v>
      </c>
      <c r="N156" s="1">
        <f t="shared" si="18"/>
        <v>1313959.2338604257</v>
      </c>
      <c r="O156" s="35">
        <f t="shared" si="19"/>
        <v>2.987593466231124E-2</v>
      </c>
      <c r="Q156" s="28"/>
    </row>
    <row r="157" spans="1:17" x14ac:dyDescent="0.2">
      <c r="A157" s="52">
        <v>40848</v>
      </c>
      <c r="B157" s="53">
        <v>47499561.538461544</v>
      </c>
      <c r="C157" s="54">
        <v>464.8</v>
      </c>
      <c r="D157" s="54">
        <v>0</v>
      </c>
      <c r="E157" s="53">
        <v>30</v>
      </c>
      <c r="F157" s="53">
        <v>1</v>
      </c>
      <c r="G157" s="53">
        <v>0</v>
      </c>
      <c r="H157" s="64">
        <v>6.6</v>
      </c>
      <c r="I157" s="53">
        <v>261.10000000000002</v>
      </c>
      <c r="J157" s="53">
        <f t="shared" si="20"/>
        <v>48316830.614816323</v>
      </c>
      <c r="K157" s="5">
        <v>143.23921349640105</v>
      </c>
      <c r="L157" s="1">
        <f t="shared" si="17"/>
        <v>55011.62675000017</v>
      </c>
      <c r="M157" s="39">
        <f>(30-8)*16</f>
        <v>352</v>
      </c>
      <c r="N157" s="1">
        <f t="shared" si="18"/>
        <v>817269.0763547793</v>
      </c>
      <c r="O157" s="35">
        <f t="shared" si="19"/>
        <v>1.7205823588350742E-2</v>
      </c>
      <c r="Q157" s="28"/>
    </row>
    <row r="158" spans="1:17" x14ac:dyDescent="0.2">
      <c r="A158" s="52">
        <v>40878</v>
      </c>
      <c r="B158" s="53">
        <v>55561307.692307696</v>
      </c>
      <c r="C158" s="54">
        <v>751.1</v>
      </c>
      <c r="D158" s="54">
        <v>0</v>
      </c>
      <c r="E158" s="53">
        <v>31</v>
      </c>
      <c r="F158" s="53">
        <v>0</v>
      </c>
      <c r="G158" s="53">
        <v>0</v>
      </c>
      <c r="H158" s="64">
        <v>6.1</v>
      </c>
      <c r="I158" s="53">
        <v>259.5</v>
      </c>
      <c r="J158" s="53">
        <f t="shared" si="20"/>
        <v>58478883.583170094</v>
      </c>
      <c r="K158" s="5">
        <v>143.49920741640472</v>
      </c>
      <c r="L158" s="1">
        <f t="shared" si="17"/>
        <v>55021.585100000171</v>
      </c>
      <c r="M158" s="39">
        <f>(31-9-1)*16</f>
        <v>336</v>
      </c>
      <c r="N158" s="1">
        <f t="shared" si="18"/>
        <v>2917575.8908623978</v>
      </c>
      <c r="O158" s="35">
        <f t="shared" si="19"/>
        <v>5.2510929134706598E-2</v>
      </c>
      <c r="Q158" s="28"/>
    </row>
    <row r="159" spans="1:17" x14ac:dyDescent="0.2">
      <c r="A159" s="52">
        <v>40909</v>
      </c>
      <c r="B159" s="53">
        <v>60440353.846153855</v>
      </c>
      <c r="C159" s="54">
        <v>855.4</v>
      </c>
      <c r="D159" s="54">
        <v>0</v>
      </c>
      <c r="E159" s="53">
        <v>31</v>
      </c>
      <c r="F159" s="53">
        <v>0</v>
      </c>
      <c r="G159" s="53">
        <v>1</v>
      </c>
      <c r="H159" s="64">
        <v>6.4</v>
      </c>
      <c r="I159" s="53">
        <v>255.9</v>
      </c>
      <c r="J159" s="53">
        <f t="shared" si="20"/>
        <v>58801604.012291819</v>
      </c>
      <c r="K159" s="5">
        <v>143.79479228853472</v>
      </c>
      <c r="L159" s="1">
        <f t="shared" si="17"/>
        <v>55031.543450000172</v>
      </c>
      <c r="M159" s="39">
        <f>(31-9-1)*16</f>
        <v>336</v>
      </c>
      <c r="N159" s="1">
        <f t="shared" si="18"/>
        <v>-1638749.8338620365</v>
      </c>
      <c r="O159" s="35">
        <f t="shared" si="19"/>
        <v>2.711350496116129E-2</v>
      </c>
      <c r="Q159" s="28"/>
    </row>
    <row r="160" spans="1:17" x14ac:dyDescent="0.2">
      <c r="A160" s="52">
        <v>40940</v>
      </c>
      <c r="B160" s="53">
        <v>53240192.307692312</v>
      </c>
      <c r="C160" s="54">
        <v>717.6</v>
      </c>
      <c r="D160" s="54">
        <v>0</v>
      </c>
      <c r="E160" s="53">
        <v>29</v>
      </c>
      <c r="F160" s="53">
        <v>0</v>
      </c>
      <c r="G160" s="53">
        <v>1</v>
      </c>
      <c r="H160" s="64">
        <v>7.1</v>
      </c>
      <c r="I160" s="53">
        <v>252.9</v>
      </c>
      <c r="J160" s="53">
        <f t="shared" si="20"/>
        <v>52970964.914194487</v>
      </c>
      <c r="K160" s="5">
        <v>144.09098601710514</v>
      </c>
      <c r="L160" s="1">
        <f t="shared" si="17"/>
        <v>55041.501800000173</v>
      </c>
      <c r="M160" s="39">
        <f>(29-8)*16</f>
        <v>336</v>
      </c>
      <c r="N160" s="1">
        <f t="shared" si="18"/>
        <v>-269227.39349782467</v>
      </c>
      <c r="O160" s="35">
        <f t="shared" si="19"/>
        <v>5.0568448727959583E-3</v>
      </c>
      <c r="Q160" s="28"/>
    </row>
    <row r="161" spans="1:17" x14ac:dyDescent="0.2">
      <c r="A161" s="52">
        <v>40969</v>
      </c>
      <c r="B161" s="53">
        <v>51166853.846153848</v>
      </c>
      <c r="C161" s="54">
        <v>510.4</v>
      </c>
      <c r="D161" s="54">
        <v>0.7</v>
      </c>
      <c r="E161" s="53">
        <v>31</v>
      </c>
      <c r="F161" s="53">
        <v>1</v>
      </c>
      <c r="G161" s="53">
        <v>1</v>
      </c>
      <c r="H161" s="64">
        <v>7.6</v>
      </c>
      <c r="I161" s="53">
        <v>250.6</v>
      </c>
      <c r="J161" s="53">
        <f t="shared" si="20"/>
        <v>48326380.177312165</v>
      </c>
      <c r="K161" s="5">
        <v>144.38778985626058</v>
      </c>
      <c r="L161" s="1">
        <f t="shared" si="17"/>
        <v>55051.460150000174</v>
      </c>
      <c r="M161" s="39">
        <f>(31-9)*16</f>
        <v>352</v>
      </c>
      <c r="N161" s="1">
        <f t="shared" si="18"/>
        <v>-2840473.6688416824</v>
      </c>
      <c r="O161" s="35">
        <f t="shared" si="19"/>
        <v>5.551394028216565E-2</v>
      </c>
      <c r="Q161" s="28"/>
    </row>
    <row r="162" spans="1:17" x14ac:dyDescent="0.2">
      <c r="A162" s="52">
        <v>41000</v>
      </c>
      <c r="B162" s="53">
        <v>44760523.07692308</v>
      </c>
      <c r="C162" s="54">
        <v>425.7</v>
      </c>
      <c r="D162" s="54">
        <v>0</v>
      </c>
      <c r="E162" s="53">
        <v>30</v>
      </c>
      <c r="F162" s="53">
        <v>1</v>
      </c>
      <c r="G162" s="53">
        <v>1</v>
      </c>
      <c r="H162" s="64">
        <v>7.3</v>
      </c>
      <c r="I162" s="53">
        <v>254.8</v>
      </c>
      <c r="J162" s="53">
        <f t="shared" si="20"/>
        <v>45046557.668294854</v>
      </c>
      <c r="K162" s="5">
        <v>144.68520506272893</v>
      </c>
      <c r="L162" s="1">
        <f t="shared" si="17"/>
        <v>55061.418500000174</v>
      </c>
      <c r="M162" s="39">
        <f>(30-9)*16</f>
        <v>336</v>
      </c>
      <c r="N162" s="1">
        <f t="shared" si="18"/>
        <v>286034.59137177467</v>
      </c>
      <c r="O162" s="35">
        <f t="shared" si="19"/>
        <v>6.3903317412133606E-3</v>
      </c>
      <c r="Q162" s="28"/>
    </row>
    <row r="163" spans="1:17" x14ac:dyDescent="0.2">
      <c r="A163" s="52">
        <v>41030</v>
      </c>
      <c r="B163" s="53">
        <v>41974454.545454547</v>
      </c>
      <c r="C163" s="54">
        <v>138.19999999999999</v>
      </c>
      <c r="D163" s="54">
        <v>13.8</v>
      </c>
      <c r="E163" s="53">
        <v>31</v>
      </c>
      <c r="F163" s="53">
        <v>1</v>
      </c>
      <c r="G163" s="53">
        <v>1</v>
      </c>
      <c r="H163" s="64">
        <v>6.7</v>
      </c>
      <c r="I163" s="53">
        <v>260.8</v>
      </c>
      <c r="J163" s="53">
        <f t="shared" si="20"/>
        <v>40327197.586975597</v>
      </c>
      <c r="K163" s="5">
        <v>144.98323289582677</v>
      </c>
      <c r="L163" s="1">
        <f t="shared" si="17"/>
        <v>55071.376850000175</v>
      </c>
      <c r="M163" s="39">
        <f>(31-8-1)*16</f>
        <v>352</v>
      </c>
      <c r="N163" s="1">
        <f t="shared" ref="N163:N194" si="22">J163-B163</f>
        <v>-1647256.95847895</v>
      </c>
      <c r="O163" s="35">
        <f t="shared" ref="O163:O194" si="23">ABS(N163/B163)</f>
        <v>3.924427312557735E-2</v>
      </c>
      <c r="Q163" s="28"/>
    </row>
    <row r="164" spans="1:17" x14ac:dyDescent="0.2">
      <c r="A164" s="52">
        <v>41061</v>
      </c>
      <c r="B164" s="53">
        <v>43023081.909090899</v>
      </c>
      <c r="C164" s="54">
        <v>50.5</v>
      </c>
      <c r="D164" s="54">
        <v>49.1</v>
      </c>
      <c r="E164" s="53">
        <v>30</v>
      </c>
      <c r="F164" s="53">
        <v>0</v>
      </c>
      <c r="G164" s="53">
        <v>1</v>
      </c>
      <c r="H164" s="64">
        <v>6.1</v>
      </c>
      <c r="I164" s="53">
        <v>267.7</v>
      </c>
      <c r="J164" s="53">
        <f t="shared" si="20"/>
        <v>41832515.470799379</v>
      </c>
      <c r="K164" s="5">
        <v>145.28187461746467</v>
      </c>
      <c r="L164" s="1">
        <f t="shared" si="17"/>
        <v>55081.335200000176</v>
      </c>
      <c r="M164" s="39">
        <f>(30-9)*16</f>
        <v>336</v>
      </c>
      <c r="N164" s="1">
        <f t="shared" si="22"/>
        <v>-1190566.4382915199</v>
      </c>
      <c r="O164" s="35">
        <f t="shared" si="23"/>
        <v>2.7672737178782856E-2</v>
      </c>
      <c r="Q164" s="28"/>
    </row>
    <row r="165" spans="1:17" x14ac:dyDescent="0.2">
      <c r="A165" s="52">
        <v>41091</v>
      </c>
      <c r="B165" s="53">
        <v>46297145.545454502</v>
      </c>
      <c r="C165" s="54">
        <v>2.2000000000000002</v>
      </c>
      <c r="D165" s="54">
        <v>78.3</v>
      </c>
      <c r="E165" s="53">
        <v>31</v>
      </c>
      <c r="F165" s="53">
        <v>0</v>
      </c>
      <c r="G165" s="53">
        <v>1</v>
      </c>
      <c r="H165" s="64">
        <v>5.9</v>
      </c>
      <c r="I165" s="53">
        <v>268.89999999999998</v>
      </c>
      <c r="J165" s="53">
        <f t="shared" si="20"/>
        <v>44237016.044260181</v>
      </c>
      <c r="K165" s="5">
        <v>145.58113149215245</v>
      </c>
      <c r="L165" s="1">
        <f t="shared" si="17"/>
        <v>55091.293550000177</v>
      </c>
      <c r="M165" s="39">
        <f>(31-9-1)*16</f>
        <v>336</v>
      </c>
      <c r="N165" s="1">
        <f t="shared" si="22"/>
        <v>-2060129.5011943206</v>
      </c>
      <c r="O165" s="35">
        <f t="shared" si="23"/>
        <v>4.4497980964543202E-2</v>
      </c>
      <c r="Q165" s="28"/>
    </row>
    <row r="166" spans="1:17" x14ac:dyDescent="0.2">
      <c r="A166" s="52">
        <v>41122</v>
      </c>
      <c r="B166" s="53">
        <v>43563745.190909103</v>
      </c>
      <c r="C166" s="54">
        <v>27</v>
      </c>
      <c r="D166" s="54">
        <v>44.9</v>
      </c>
      <c r="E166" s="53">
        <v>31</v>
      </c>
      <c r="F166" s="53">
        <v>0</v>
      </c>
      <c r="G166" s="53">
        <v>1</v>
      </c>
      <c r="H166" s="64">
        <v>6.9</v>
      </c>
      <c r="I166" s="53">
        <v>265.5</v>
      </c>
      <c r="J166" s="53">
        <f t="shared" si="20"/>
        <v>41972649.334100865</v>
      </c>
      <c r="K166" s="5">
        <v>145.88100478700474</v>
      </c>
      <c r="L166" s="1">
        <f t="shared" si="17"/>
        <v>55101.251900000178</v>
      </c>
      <c r="M166" s="39">
        <f>(31-8-1)*16</f>
        <v>352</v>
      </c>
      <c r="N166" s="1">
        <f t="shared" si="22"/>
        <v>-1591095.8568082377</v>
      </c>
      <c r="O166" s="35">
        <f t="shared" si="23"/>
        <v>3.652339462173395E-2</v>
      </c>
      <c r="Q166" s="28"/>
    </row>
    <row r="167" spans="1:17" x14ac:dyDescent="0.2">
      <c r="A167" s="52">
        <v>41153</v>
      </c>
      <c r="B167" s="53">
        <v>40969381.861818202</v>
      </c>
      <c r="C167" s="54">
        <v>163</v>
      </c>
      <c r="D167" s="54">
        <v>12.4</v>
      </c>
      <c r="E167" s="53">
        <v>30</v>
      </c>
      <c r="F167" s="53">
        <v>1</v>
      </c>
      <c r="G167" s="53">
        <v>1</v>
      </c>
      <c r="H167" s="64">
        <v>7.7</v>
      </c>
      <c r="I167" s="53">
        <v>255.6</v>
      </c>
      <c r="J167" s="53">
        <f t="shared" si="20"/>
        <v>39527543.92961473</v>
      </c>
      <c r="K167" s="5">
        <v>146.18149577174611</v>
      </c>
      <c r="L167" s="1">
        <f t="shared" si="17"/>
        <v>55111.210250000178</v>
      </c>
      <c r="M167" s="39">
        <f>(30-10-1)*16</f>
        <v>304</v>
      </c>
      <c r="N167" s="1">
        <f t="shared" si="22"/>
        <v>-1441837.9322034717</v>
      </c>
      <c r="O167" s="35">
        <f t="shared" si="23"/>
        <v>3.5193060443687238E-2</v>
      </c>
      <c r="Q167" s="28"/>
    </row>
    <row r="168" spans="1:17" x14ac:dyDescent="0.2">
      <c r="A168" s="52">
        <v>41183</v>
      </c>
      <c r="B168" s="53">
        <v>43802874.826363601</v>
      </c>
      <c r="C168" s="54">
        <v>331</v>
      </c>
      <c r="D168" s="54">
        <v>0</v>
      </c>
      <c r="E168" s="53">
        <v>31</v>
      </c>
      <c r="F168" s="53">
        <v>1</v>
      </c>
      <c r="G168" s="53">
        <v>1</v>
      </c>
      <c r="H168" s="64">
        <v>8.3000000000000007</v>
      </c>
      <c r="I168" s="53">
        <v>248.4</v>
      </c>
      <c r="J168" s="53">
        <f t="shared" si="20"/>
        <v>43748185.485744245</v>
      </c>
      <c r="K168" s="5">
        <v>146.48260571871663</v>
      </c>
      <c r="L168" s="1">
        <f t="shared" si="17"/>
        <v>55121.168600000179</v>
      </c>
      <c r="M168" s="39">
        <f>(31-8-1)*16</f>
        <v>352</v>
      </c>
      <c r="N168" s="1">
        <f t="shared" si="22"/>
        <v>-54689.34061935544</v>
      </c>
      <c r="O168" s="35">
        <f t="shared" si="23"/>
        <v>1.2485331347804507E-3</v>
      </c>
      <c r="Q168" s="28"/>
    </row>
    <row r="169" spans="1:17" x14ac:dyDescent="0.2">
      <c r="A169" s="52">
        <v>41214</v>
      </c>
      <c r="B169" s="53">
        <v>48147860.479999997</v>
      </c>
      <c r="C169" s="54">
        <v>549.70000000000005</v>
      </c>
      <c r="D169" s="54">
        <v>0</v>
      </c>
      <c r="E169" s="53">
        <v>30</v>
      </c>
      <c r="F169" s="53">
        <v>1</v>
      </c>
      <c r="G169" s="53">
        <v>1</v>
      </c>
      <c r="H169" s="64">
        <v>7.7</v>
      </c>
      <c r="I169" s="53">
        <v>245.6</v>
      </c>
      <c r="J169" s="53">
        <f t="shared" si="20"/>
        <v>48057842.178422861</v>
      </c>
      <c r="K169" s="5">
        <v>146.7843359028771</v>
      </c>
      <c r="L169" s="1">
        <f t="shared" si="17"/>
        <v>55131.12695000018</v>
      </c>
      <c r="M169" s="39">
        <f>(30-8)*16</f>
        <v>352</v>
      </c>
      <c r="N169" s="1">
        <f t="shared" si="22"/>
        <v>-90018.301577135921</v>
      </c>
      <c r="O169" s="35">
        <f t="shared" si="23"/>
        <v>1.8696220492399318E-3</v>
      </c>
      <c r="Q169" s="28"/>
    </row>
    <row r="170" spans="1:17" x14ac:dyDescent="0.2">
      <c r="A170" s="52">
        <v>41244</v>
      </c>
      <c r="B170" s="53">
        <v>55226225.239999995</v>
      </c>
      <c r="C170" s="54">
        <v>770.6</v>
      </c>
      <c r="D170" s="54">
        <v>0</v>
      </c>
      <c r="E170" s="53">
        <v>31</v>
      </c>
      <c r="F170" s="53">
        <v>0</v>
      </c>
      <c r="G170" s="53">
        <v>1</v>
      </c>
      <c r="H170" s="64">
        <v>8</v>
      </c>
      <c r="I170" s="53">
        <v>247.4</v>
      </c>
      <c r="J170" s="53">
        <f t="shared" si="20"/>
        <v>56502072.658428699</v>
      </c>
      <c r="K170" s="5">
        <v>147.08668760181482</v>
      </c>
      <c r="L170" s="1">
        <f t="shared" si="17"/>
        <v>55141.085300000181</v>
      </c>
      <c r="M170" s="39">
        <f>(31-10-1)*16</f>
        <v>320</v>
      </c>
      <c r="N170" s="1">
        <f t="shared" si="22"/>
        <v>1275847.4184287041</v>
      </c>
      <c r="O170" s="35">
        <f t="shared" si="23"/>
        <v>2.3102202131037849E-2</v>
      </c>
      <c r="Q170" s="28"/>
    </row>
    <row r="171" spans="1:17" x14ac:dyDescent="0.2">
      <c r="A171" s="52">
        <v>41275</v>
      </c>
      <c r="B171" s="53">
        <v>60327761.510000005</v>
      </c>
      <c r="C171" s="54">
        <v>892.80000000000007</v>
      </c>
      <c r="D171" s="54">
        <v>0</v>
      </c>
      <c r="E171" s="53">
        <v>31</v>
      </c>
      <c r="F171" s="53">
        <v>0</v>
      </c>
      <c r="G171" s="53">
        <v>1</v>
      </c>
      <c r="H171" s="64">
        <v>8.3000000000000007</v>
      </c>
      <c r="I171" s="53">
        <v>247</v>
      </c>
      <c r="J171" s="53">
        <f t="shared" si="20"/>
        <v>59481721.210301138</v>
      </c>
      <c r="K171" s="5"/>
      <c r="L171" s="1"/>
      <c r="N171" s="1">
        <f t="shared" si="22"/>
        <v>-846040.2996988669</v>
      </c>
      <c r="O171" s="35">
        <f t="shared" si="23"/>
        <v>1.4024062529796107E-2</v>
      </c>
      <c r="Q171" s="28"/>
    </row>
    <row r="172" spans="1:17" x14ac:dyDescent="0.2">
      <c r="A172" s="52">
        <v>41306</v>
      </c>
      <c r="B172" s="53">
        <v>53600343.009999998</v>
      </c>
      <c r="C172" s="54">
        <v>801.40000000000009</v>
      </c>
      <c r="D172" s="54">
        <v>0</v>
      </c>
      <c r="E172" s="53">
        <v>28</v>
      </c>
      <c r="F172" s="53">
        <v>0</v>
      </c>
      <c r="G172" s="53">
        <v>1</v>
      </c>
      <c r="H172" s="64">
        <v>8.6</v>
      </c>
      <c r="I172" s="53">
        <v>247.3</v>
      </c>
      <c r="J172" s="53">
        <f t="shared" si="20"/>
        <v>53679611.020170093</v>
      </c>
      <c r="K172" s="5"/>
      <c r="L172" s="1"/>
      <c r="N172" s="1">
        <f t="shared" si="22"/>
        <v>79268.010170094669</v>
      </c>
      <c r="O172" s="35">
        <f t="shared" si="23"/>
        <v>1.4788713228067582E-3</v>
      </c>
      <c r="Q172" s="28"/>
    </row>
    <row r="173" spans="1:17" x14ac:dyDescent="0.2">
      <c r="A173" s="52">
        <v>41334</v>
      </c>
      <c r="B173" s="53">
        <v>52121235.689999998</v>
      </c>
      <c r="C173" s="54">
        <v>685.19999999999982</v>
      </c>
      <c r="D173" s="54">
        <v>0</v>
      </c>
      <c r="E173" s="53">
        <v>31</v>
      </c>
      <c r="F173" s="53">
        <v>1</v>
      </c>
      <c r="G173" s="53">
        <v>1</v>
      </c>
      <c r="H173" s="64">
        <v>8.8000000000000007</v>
      </c>
      <c r="I173" s="53">
        <v>248.7</v>
      </c>
      <c r="J173" s="53">
        <f t="shared" si="20"/>
        <v>52432157.072714724</v>
      </c>
      <c r="K173" s="5"/>
      <c r="L173" s="1"/>
      <c r="N173" s="1">
        <f t="shared" si="22"/>
        <v>310921.38271472603</v>
      </c>
      <c r="O173" s="35">
        <f t="shared" si="23"/>
        <v>5.9653494127419457E-3</v>
      </c>
      <c r="Q173" s="28"/>
    </row>
    <row r="174" spans="1:17" x14ac:dyDescent="0.2">
      <c r="A174" s="52">
        <v>41365</v>
      </c>
      <c r="B174" s="53">
        <v>46644026.119999997</v>
      </c>
      <c r="C174" s="54">
        <v>496.25000000000011</v>
      </c>
      <c r="D174" s="54">
        <v>0</v>
      </c>
      <c r="E174" s="53">
        <v>30</v>
      </c>
      <c r="F174" s="53">
        <v>1</v>
      </c>
      <c r="G174" s="53">
        <v>1</v>
      </c>
      <c r="H174" s="64">
        <v>8.8000000000000007</v>
      </c>
      <c r="I174" s="53">
        <v>250.9</v>
      </c>
      <c r="J174" s="53">
        <f t="shared" si="20"/>
        <v>46596700.265484102</v>
      </c>
      <c r="K174" s="5"/>
      <c r="L174" s="1"/>
      <c r="N174" s="1">
        <f t="shared" si="22"/>
        <v>-47325.854515895247</v>
      </c>
      <c r="O174" s="35">
        <f t="shared" si="23"/>
        <v>1.0146177003276073E-3</v>
      </c>
      <c r="Q174" s="28"/>
    </row>
    <row r="175" spans="1:17" x14ac:dyDescent="0.2">
      <c r="A175" s="52">
        <v>41395</v>
      </c>
      <c r="B175" s="53">
        <v>41426399.170000002</v>
      </c>
      <c r="C175" s="54">
        <v>198.95</v>
      </c>
      <c r="D175" s="54">
        <v>9.6999999999999993</v>
      </c>
      <c r="E175" s="53">
        <v>31</v>
      </c>
      <c r="F175" s="53">
        <v>1</v>
      </c>
      <c r="G175" s="53">
        <v>1</v>
      </c>
      <c r="H175" s="64">
        <v>8.6999999999999993</v>
      </c>
      <c r="I175" s="53">
        <v>254.9</v>
      </c>
      <c r="J175" s="53">
        <f t="shared" si="20"/>
        <v>41233783.258012474</v>
      </c>
      <c r="K175" s="5"/>
      <c r="L175" s="1"/>
      <c r="N175" s="1">
        <f t="shared" si="22"/>
        <v>-192615.9119875282</v>
      </c>
      <c r="O175" s="35">
        <f t="shared" si="23"/>
        <v>4.6495933956774115E-3</v>
      </c>
      <c r="Q175" s="28"/>
    </row>
    <row r="176" spans="1:17" x14ac:dyDescent="0.2">
      <c r="A176" s="52">
        <v>41426</v>
      </c>
      <c r="B176" s="53">
        <v>39734886.469999999</v>
      </c>
      <c r="C176" s="54">
        <v>102.54999999999998</v>
      </c>
      <c r="D176" s="54">
        <v>15.000000000000004</v>
      </c>
      <c r="E176" s="53">
        <v>30</v>
      </c>
      <c r="F176" s="53">
        <v>0</v>
      </c>
      <c r="G176" s="53">
        <v>1</v>
      </c>
      <c r="H176" s="64">
        <v>7.5</v>
      </c>
      <c r="I176" s="53">
        <v>257.3</v>
      </c>
      <c r="J176" s="53">
        <f t="shared" si="20"/>
        <v>40132283.014342017</v>
      </c>
      <c r="K176" s="5"/>
      <c r="L176" s="1"/>
      <c r="N176" s="1">
        <f t="shared" si="22"/>
        <v>397396.54434201866</v>
      </c>
      <c r="O176" s="35">
        <f t="shared" si="23"/>
        <v>1.0001199944085777E-2</v>
      </c>
      <c r="Q176" s="28"/>
    </row>
    <row r="177" spans="1:17" x14ac:dyDescent="0.2">
      <c r="A177" s="52">
        <v>41456</v>
      </c>
      <c r="B177" s="53">
        <v>44872689.950000003</v>
      </c>
      <c r="C177" s="54">
        <v>39.149999999999984</v>
      </c>
      <c r="D177" s="54">
        <v>52.79999999999999</v>
      </c>
      <c r="E177" s="53">
        <v>31</v>
      </c>
      <c r="F177" s="53">
        <v>0</v>
      </c>
      <c r="G177" s="53">
        <v>1</v>
      </c>
      <c r="H177" s="64">
        <v>7.1</v>
      </c>
      <c r="I177" s="53">
        <v>259.2</v>
      </c>
      <c r="J177" s="53">
        <f t="shared" si="20"/>
        <v>42897225.550184719</v>
      </c>
      <c r="K177" s="5"/>
      <c r="L177" s="1"/>
      <c r="N177" s="1">
        <f t="shared" si="22"/>
        <v>-1975464.3998152837</v>
      </c>
      <c r="O177" s="35">
        <f t="shared" si="23"/>
        <v>4.4023757033876759E-2</v>
      </c>
      <c r="Q177" s="28"/>
    </row>
    <row r="178" spans="1:17" x14ac:dyDescent="0.2">
      <c r="A178" s="52">
        <v>41487</v>
      </c>
      <c r="B178" s="53">
        <v>42128550.090000004</v>
      </c>
      <c r="C178" s="54">
        <v>49.000000000000014</v>
      </c>
      <c r="D178" s="54">
        <v>23.449999999999992</v>
      </c>
      <c r="E178" s="53">
        <v>31</v>
      </c>
      <c r="F178" s="53">
        <v>0</v>
      </c>
      <c r="G178" s="53">
        <v>1</v>
      </c>
      <c r="H178" s="64">
        <v>7</v>
      </c>
      <c r="I178" s="53">
        <v>258.2</v>
      </c>
      <c r="J178" s="53">
        <f t="shared" si="20"/>
        <v>40737946.430734813</v>
      </c>
      <c r="K178" s="5"/>
      <c r="L178" s="1"/>
      <c r="N178" s="1">
        <f t="shared" si="22"/>
        <v>-1390603.6592651904</v>
      </c>
      <c r="O178" s="35">
        <f t="shared" si="23"/>
        <v>3.3008581028647267E-2</v>
      </c>
      <c r="Q178" s="28"/>
    </row>
    <row r="179" spans="1:17" x14ac:dyDescent="0.2">
      <c r="A179" s="52">
        <v>41518</v>
      </c>
      <c r="B179" s="53">
        <v>39409892.280000001</v>
      </c>
      <c r="C179" s="54">
        <v>181.75</v>
      </c>
      <c r="D179" s="54">
        <v>1.6499999999999986</v>
      </c>
      <c r="E179" s="53">
        <v>30</v>
      </c>
      <c r="F179" s="53">
        <v>1</v>
      </c>
      <c r="G179" s="53">
        <v>1</v>
      </c>
      <c r="H179" s="64">
        <v>7.1</v>
      </c>
      <c r="I179" s="53">
        <v>253.8</v>
      </c>
      <c r="J179" s="53">
        <f t="shared" si="20"/>
        <v>39182879.836388685</v>
      </c>
      <c r="K179" s="5"/>
      <c r="L179" s="1"/>
      <c r="N179" s="1">
        <f t="shared" si="22"/>
        <v>-227012.44361131638</v>
      </c>
      <c r="O179" s="35">
        <f t="shared" si="23"/>
        <v>5.7602908934242941E-3</v>
      </c>
      <c r="Q179" s="28"/>
    </row>
    <row r="180" spans="1:17" x14ac:dyDescent="0.2">
      <c r="A180" s="52">
        <v>41548</v>
      </c>
      <c r="B180" s="53">
        <v>43095283.710000001</v>
      </c>
      <c r="C180" s="54">
        <v>321.95</v>
      </c>
      <c r="D180" s="54">
        <v>0</v>
      </c>
      <c r="E180" s="53">
        <v>31</v>
      </c>
      <c r="F180" s="53">
        <v>1</v>
      </c>
      <c r="G180" s="53">
        <v>1</v>
      </c>
      <c r="H180" s="64">
        <v>6.9</v>
      </c>
      <c r="I180" s="53">
        <v>253.6</v>
      </c>
      <c r="J180" s="53">
        <f t="shared" si="20"/>
        <v>43704156.744269557</v>
      </c>
      <c r="K180" s="5"/>
      <c r="L180" s="1"/>
      <c r="N180" s="1">
        <f t="shared" si="22"/>
        <v>608873.0342695564</v>
      </c>
      <c r="O180" s="35">
        <f t="shared" si="23"/>
        <v>1.4128530592044138E-2</v>
      </c>
      <c r="Q180" s="28"/>
    </row>
    <row r="181" spans="1:17" x14ac:dyDescent="0.2">
      <c r="A181" s="52">
        <v>41579</v>
      </c>
      <c r="B181" s="53">
        <v>49774197.399999999</v>
      </c>
      <c r="C181" s="54">
        <v>625.75</v>
      </c>
      <c r="D181" s="54">
        <v>0</v>
      </c>
      <c r="E181" s="53">
        <v>30</v>
      </c>
      <c r="F181" s="53">
        <v>1</v>
      </c>
      <c r="G181" s="53">
        <v>1</v>
      </c>
      <c r="H181" s="64">
        <v>6.5</v>
      </c>
      <c r="I181" s="53">
        <v>252.5</v>
      </c>
      <c r="J181" s="53">
        <f t="shared" si="20"/>
        <v>50089982.31565211</v>
      </c>
      <c r="K181" s="5"/>
      <c r="L181" s="1"/>
      <c r="N181" s="1">
        <f t="shared" si="22"/>
        <v>315784.91565211117</v>
      </c>
      <c r="O181" s="35">
        <f t="shared" si="23"/>
        <v>6.3443497263124364E-3</v>
      </c>
      <c r="Q181" s="28"/>
    </row>
    <row r="182" spans="1:17" x14ac:dyDescent="0.2">
      <c r="A182" s="52">
        <v>41609</v>
      </c>
      <c r="B182" s="53">
        <v>60036819.376666702</v>
      </c>
      <c r="C182" s="54">
        <v>964.3</v>
      </c>
      <c r="D182" s="54">
        <v>0</v>
      </c>
      <c r="E182" s="53">
        <v>31</v>
      </c>
      <c r="F182" s="53">
        <v>0</v>
      </c>
      <c r="G182" s="53">
        <v>1</v>
      </c>
      <c r="H182" s="64">
        <v>6.5</v>
      </c>
      <c r="I182" s="53">
        <v>255</v>
      </c>
      <c r="J182" s="53">
        <f t="shared" si="20"/>
        <v>61478408.861968823</v>
      </c>
      <c r="K182" s="5"/>
      <c r="L182" s="1"/>
      <c r="N182" s="1">
        <f t="shared" si="22"/>
        <v>1441589.4853021204</v>
      </c>
      <c r="O182" s="35">
        <f t="shared" si="23"/>
        <v>2.4011756456611921E-2</v>
      </c>
      <c r="Q182" s="28"/>
    </row>
    <row r="183" spans="1:17" x14ac:dyDescent="0.2">
      <c r="A183" s="52">
        <v>41640</v>
      </c>
      <c r="B183" s="67">
        <v>63463232.333333299</v>
      </c>
      <c r="C183" s="68">
        <v>1024.8</v>
      </c>
      <c r="D183" s="68">
        <v>0</v>
      </c>
      <c r="E183" s="53">
        <v>31</v>
      </c>
      <c r="F183" s="53">
        <v>0</v>
      </c>
      <c r="G183" s="53">
        <v>1</v>
      </c>
      <c r="H183" s="64">
        <v>7.4</v>
      </c>
      <c r="I183" s="53">
        <v>251.9</v>
      </c>
      <c r="J183" s="53">
        <f t="shared" si="20"/>
        <v>62857259.301301315</v>
      </c>
      <c r="K183" s="5"/>
      <c r="L183" s="1"/>
      <c r="N183" s="1">
        <f t="shared" si="22"/>
        <v>-605973.03203198314</v>
      </c>
      <c r="O183" s="35">
        <f t="shared" si="23"/>
        <v>9.5484110996612928E-3</v>
      </c>
      <c r="Q183" s="28"/>
    </row>
    <row r="184" spans="1:17" x14ac:dyDescent="0.2">
      <c r="A184" s="52">
        <v>41671</v>
      </c>
      <c r="B184" s="67">
        <v>54070343</v>
      </c>
      <c r="C184" s="68">
        <v>883.40000000000009</v>
      </c>
      <c r="D184" s="68">
        <v>0</v>
      </c>
      <c r="E184" s="53">
        <v>28</v>
      </c>
      <c r="F184" s="53">
        <v>0</v>
      </c>
      <c r="G184" s="53">
        <v>1</v>
      </c>
      <c r="H184" s="64">
        <v>7.6</v>
      </c>
      <c r="I184" s="53">
        <v>250.1</v>
      </c>
      <c r="J184" s="53">
        <f t="shared" si="20"/>
        <v>55833063.661163881</v>
      </c>
      <c r="K184" s="5"/>
      <c r="L184" s="1"/>
      <c r="N184" s="1">
        <f t="shared" si="22"/>
        <v>1762720.6611638814</v>
      </c>
      <c r="O184" s="35">
        <f t="shared" si="23"/>
        <v>3.2600508215083479E-2</v>
      </c>
      <c r="Q184" s="28"/>
    </row>
    <row r="185" spans="1:17" x14ac:dyDescent="0.2">
      <c r="A185" s="52">
        <v>41699</v>
      </c>
      <c r="B185" s="67">
        <v>56439184.730000004</v>
      </c>
      <c r="C185" s="68">
        <v>879.69999999999982</v>
      </c>
      <c r="D185" s="68">
        <v>0</v>
      </c>
      <c r="E185" s="53">
        <v>31</v>
      </c>
      <c r="F185" s="53">
        <v>1</v>
      </c>
      <c r="G185" s="53">
        <v>1</v>
      </c>
      <c r="H185" s="64">
        <v>8.1</v>
      </c>
      <c r="I185" s="53">
        <v>247.3</v>
      </c>
      <c r="J185" s="53">
        <f t="shared" si="20"/>
        <v>57325686.479896657</v>
      </c>
      <c r="K185" s="5"/>
      <c r="L185" s="1"/>
      <c r="N185" s="1">
        <f t="shared" si="22"/>
        <v>886501.749896653</v>
      </c>
      <c r="O185" s="35">
        <f t="shared" si="23"/>
        <v>1.5707203322259132E-2</v>
      </c>
      <c r="Q185" s="28"/>
    </row>
    <row r="186" spans="1:17" x14ac:dyDescent="0.2">
      <c r="A186" s="52">
        <v>41730</v>
      </c>
      <c r="B186" s="67">
        <v>44570606.713333301</v>
      </c>
      <c r="C186" s="68">
        <v>482.99999999999994</v>
      </c>
      <c r="D186" s="68">
        <v>0</v>
      </c>
      <c r="E186" s="53">
        <v>30</v>
      </c>
      <c r="F186" s="53">
        <v>1</v>
      </c>
      <c r="G186" s="53">
        <v>1</v>
      </c>
      <c r="H186" s="64">
        <v>7.8</v>
      </c>
      <c r="I186" s="53">
        <v>247.5</v>
      </c>
      <c r="J186" s="53">
        <f t="shared" si="20"/>
        <v>46397656.763547063</v>
      </c>
      <c r="K186" s="5"/>
      <c r="L186" s="1"/>
      <c r="N186" s="1">
        <f t="shared" si="22"/>
        <v>1827050.0502137616</v>
      </c>
      <c r="O186" s="35">
        <f t="shared" si="23"/>
        <v>4.0992263398272284E-2</v>
      </c>
      <c r="Q186" s="28"/>
    </row>
    <row r="187" spans="1:17" x14ac:dyDescent="0.2">
      <c r="A187" s="52">
        <v>41760</v>
      </c>
      <c r="B187" s="67">
        <v>39797076.2330769</v>
      </c>
      <c r="C187" s="68">
        <v>199.79999999999998</v>
      </c>
      <c r="D187" s="68">
        <v>1.3</v>
      </c>
      <c r="E187" s="53">
        <v>31</v>
      </c>
      <c r="F187" s="53">
        <v>1</v>
      </c>
      <c r="G187" s="53">
        <v>1</v>
      </c>
      <c r="H187" s="64">
        <v>7.8</v>
      </c>
      <c r="I187" s="53">
        <v>250.6</v>
      </c>
      <c r="J187" s="53">
        <f t="shared" si="20"/>
        <v>40678879.456124067</v>
      </c>
      <c r="K187" s="5"/>
      <c r="L187" s="1"/>
      <c r="N187" s="1">
        <f t="shared" si="22"/>
        <v>881803.22304716706</v>
      </c>
      <c r="O187" s="35">
        <f t="shared" si="23"/>
        <v>2.2157487597399581E-2</v>
      </c>
      <c r="Q187" s="28"/>
    </row>
    <row r="188" spans="1:17" x14ac:dyDescent="0.2">
      <c r="A188" s="52">
        <v>41791</v>
      </c>
      <c r="B188" s="67">
        <v>39266619.640000001</v>
      </c>
      <c r="C188" s="68">
        <v>53.399999999999991</v>
      </c>
      <c r="D188" s="68">
        <v>24.1</v>
      </c>
      <c r="E188" s="53">
        <v>30</v>
      </c>
      <c r="F188" s="53">
        <v>0</v>
      </c>
      <c r="G188" s="53">
        <v>1</v>
      </c>
      <c r="H188" s="64">
        <v>7.1</v>
      </c>
      <c r="I188" s="53">
        <v>257.10000000000002</v>
      </c>
      <c r="J188" s="53">
        <f t="shared" si="20"/>
        <v>39718543.045386232</v>
      </c>
      <c r="K188" s="5"/>
      <c r="L188" s="1"/>
      <c r="N188" s="1">
        <f t="shared" si="22"/>
        <v>451923.40538623184</v>
      </c>
      <c r="O188" s="35">
        <f t="shared" si="23"/>
        <v>1.1509098810376534E-2</v>
      </c>
      <c r="Q188" s="28"/>
    </row>
    <row r="189" spans="1:17" x14ac:dyDescent="0.2">
      <c r="A189" s="52">
        <v>41821</v>
      </c>
      <c r="B189" s="67">
        <v>40614145.310000002</v>
      </c>
      <c r="C189" s="68">
        <v>57.800000000000004</v>
      </c>
      <c r="D189" s="68">
        <v>17.900000000000002</v>
      </c>
      <c r="E189" s="53">
        <v>31</v>
      </c>
      <c r="F189" s="53">
        <v>0</v>
      </c>
      <c r="G189" s="53">
        <v>1</v>
      </c>
      <c r="H189" s="64">
        <v>6.9</v>
      </c>
      <c r="I189" s="53">
        <v>262.8</v>
      </c>
      <c r="J189" s="53">
        <f t="shared" si="20"/>
        <v>40511369.907764234</v>
      </c>
      <c r="K189" s="5"/>
      <c r="L189" s="1"/>
      <c r="N189" s="1">
        <f t="shared" si="22"/>
        <v>-102775.40223576874</v>
      </c>
      <c r="O189" s="35">
        <f t="shared" si="23"/>
        <v>2.5305321939266172E-3</v>
      </c>
      <c r="Q189" s="28"/>
    </row>
    <row r="190" spans="1:17" x14ac:dyDescent="0.2">
      <c r="A190" s="52">
        <v>41852</v>
      </c>
      <c r="B190" s="67">
        <v>40130105.350000001</v>
      </c>
      <c r="C190" s="68">
        <v>60</v>
      </c>
      <c r="D190" s="68">
        <v>16.399999999999999</v>
      </c>
      <c r="E190" s="53">
        <v>31</v>
      </c>
      <c r="F190" s="53">
        <v>0</v>
      </c>
      <c r="G190" s="53">
        <v>1</v>
      </c>
      <c r="H190" s="64">
        <v>7.3</v>
      </c>
      <c r="I190" s="53">
        <v>263.60000000000002</v>
      </c>
      <c r="J190" s="53">
        <f t="shared" si="20"/>
        <v>40390979.707876258</v>
      </c>
      <c r="K190" s="5"/>
      <c r="L190" s="1"/>
      <c r="N190" s="1">
        <f t="shared" si="22"/>
        <v>260874.35787625611</v>
      </c>
      <c r="O190" s="35">
        <f t="shared" si="23"/>
        <v>6.5007145035131612E-3</v>
      </c>
      <c r="Q190" s="28"/>
    </row>
    <row r="191" spans="1:17" x14ac:dyDescent="0.2">
      <c r="A191" s="52">
        <v>41883</v>
      </c>
      <c r="B191" s="67">
        <v>39320268.8430769</v>
      </c>
      <c r="C191" s="68">
        <v>157</v>
      </c>
      <c r="D191" s="68">
        <v>4.5999999999999996</v>
      </c>
      <c r="E191" s="53">
        <v>30</v>
      </c>
      <c r="F191" s="53">
        <v>1</v>
      </c>
      <c r="G191" s="53">
        <v>1</v>
      </c>
      <c r="H191" s="64">
        <v>7.3</v>
      </c>
      <c r="I191" s="53">
        <v>261</v>
      </c>
      <c r="J191" s="53">
        <f t="shared" si="20"/>
        <v>38788732.050264664</v>
      </c>
      <c r="K191" s="5"/>
      <c r="L191" s="1"/>
      <c r="N191" s="1">
        <f t="shared" si="22"/>
        <v>-531536.79281223565</v>
      </c>
      <c r="O191" s="35">
        <f t="shared" si="23"/>
        <v>1.3518137297930074E-2</v>
      </c>
      <c r="Q191" s="28"/>
    </row>
    <row r="192" spans="1:17" x14ac:dyDescent="0.2">
      <c r="A192" s="52">
        <v>41913</v>
      </c>
      <c r="B192" s="67">
        <v>41890567.630000003</v>
      </c>
      <c r="C192" s="68">
        <v>341.59999999999997</v>
      </c>
      <c r="D192" s="68">
        <v>0</v>
      </c>
      <c r="E192" s="53">
        <v>31</v>
      </c>
      <c r="F192" s="53">
        <v>1</v>
      </c>
      <c r="G192" s="53">
        <v>1</v>
      </c>
      <c r="H192" s="64">
        <v>6.6</v>
      </c>
      <c r="I192" s="53">
        <v>260.3</v>
      </c>
      <c r="J192" s="53">
        <f t="shared" si="20"/>
        <v>44227936.831502005</v>
      </c>
      <c r="K192" s="5"/>
      <c r="L192" s="1"/>
      <c r="N192" s="1">
        <f t="shared" si="22"/>
        <v>2337369.2015020028</v>
      </c>
      <c r="O192" s="35">
        <f t="shared" si="23"/>
        <v>5.5797028632958691E-2</v>
      </c>
      <c r="Q192" s="28"/>
    </row>
    <row r="193" spans="1:17" x14ac:dyDescent="0.2">
      <c r="A193" s="52">
        <v>41944</v>
      </c>
      <c r="B193" s="67">
        <v>48281109.329999998</v>
      </c>
      <c r="C193" s="68">
        <v>642.99999999999989</v>
      </c>
      <c r="D193" s="68">
        <v>0</v>
      </c>
      <c r="E193" s="53">
        <v>30</v>
      </c>
      <c r="F193" s="53">
        <v>1</v>
      </c>
      <c r="G193" s="53">
        <v>1</v>
      </c>
      <c r="H193" s="64">
        <v>5.0999999999999996</v>
      </c>
      <c r="I193" s="53">
        <v>260.89999999999998</v>
      </c>
      <c r="J193" s="53">
        <f t="shared" si="20"/>
        <v>50695514.188970938</v>
      </c>
      <c r="K193" s="5"/>
      <c r="L193" s="1"/>
      <c r="N193" s="1">
        <f t="shared" si="22"/>
        <v>2414404.8589709401</v>
      </c>
      <c r="O193" s="35">
        <f t="shared" si="23"/>
        <v>5.000723662889666E-2</v>
      </c>
      <c r="Q193" s="28"/>
    </row>
    <row r="194" spans="1:17" x14ac:dyDescent="0.2">
      <c r="A194" s="52">
        <v>41974</v>
      </c>
      <c r="B194" s="67">
        <v>53346472.609999999</v>
      </c>
      <c r="C194" s="68">
        <v>710.49999999999989</v>
      </c>
      <c r="D194" s="68">
        <v>0</v>
      </c>
      <c r="E194" s="53">
        <v>31</v>
      </c>
      <c r="F194" s="53">
        <v>0</v>
      </c>
      <c r="G194" s="53">
        <v>1</v>
      </c>
      <c r="H194" s="64">
        <v>5</v>
      </c>
      <c r="I194" s="53">
        <v>261.60000000000002</v>
      </c>
      <c r="J194" s="53">
        <f t="shared" si="20"/>
        <v>55402335.365125217</v>
      </c>
      <c r="K194" s="5"/>
      <c r="L194" s="1"/>
      <c r="N194" s="1">
        <f t="shared" si="22"/>
        <v>2055862.7551252171</v>
      </c>
      <c r="O194" s="35">
        <f t="shared" si="23"/>
        <v>3.8537932398173928E-2</v>
      </c>
      <c r="Q194" s="28"/>
    </row>
    <row r="195" spans="1:17" x14ac:dyDescent="0.2">
      <c r="A195" s="52">
        <v>42005</v>
      </c>
      <c r="B195" s="67"/>
      <c r="C195" s="68">
        <f>(C183+C171+C159+C147+C135+C123+C111+C99+C87+C75)/10</f>
        <v>915.44999999999982</v>
      </c>
      <c r="D195" s="68">
        <f>(D183+D171+D159+D147+D135+D123+D111+D99+D87+D75)/10</f>
        <v>0</v>
      </c>
      <c r="E195" s="53">
        <v>31</v>
      </c>
      <c r="F195" s="53">
        <v>0</v>
      </c>
      <c r="G195" s="53">
        <v>1</v>
      </c>
      <c r="H195" s="64">
        <f t="shared" ref="H195:I206" si="24">H194</f>
        <v>5</v>
      </c>
      <c r="I195" s="53">
        <f>I194</f>
        <v>261.60000000000002</v>
      </c>
      <c r="J195" s="53">
        <f t="shared" si="20"/>
        <v>60464215.517289795</v>
      </c>
      <c r="K195" s="5"/>
      <c r="L195" s="1"/>
      <c r="N195" s="3">
        <f>SUM(N3:N194)</f>
        <v>1.1846423149108887E-6</v>
      </c>
      <c r="O195" s="35">
        <f>AVERAGE(O3:O194)</f>
        <v>1.7852599464816196E-2</v>
      </c>
      <c r="P195" s="4" t="s">
        <v>40</v>
      </c>
      <c r="Q195" s="28"/>
    </row>
    <row r="196" spans="1:17" x14ac:dyDescent="0.2">
      <c r="A196" s="52">
        <v>42036</v>
      </c>
      <c r="B196" s="67"/>
      <c r="C196" s="68">
        <f t="shared" ref="C196:D206" si="25">(C184+C172+C160+C148+C136+C124+C112+C100+C88+C76)/10</f>
        <v>803.21000000000015</v>
      </c>
      <c r="D196" s="68">
        <f t="shared" si="25"/>
        <v>0</v>
      </c>
      <c r="E196" s="53">
        <v>28</v>
      </c>
      <c r="F196" s="53">
        <v>0</v>
      </c>
      <c r="G196" s="53">
        <v>1</v>
      </c>
      <c r="H196" s="64">
        <f t="shared" si="24"/>
        <v>5</v>
      </c>
      <c r="I196" s="53">
        <f t="shared" si="24"/>
        <v>261.60000000000002</v>
      </c>
      <c r="J196" s="53">
        <f t="shared" ref="J196:J206" si="26">$Q$19+C196*$Q$20+D196*$Q$21+E196*$Q$22+F196*$Q$23+G196*$Q$24+H196*$Q$25</f>
        <v>54185858.445076041</v>
      </c>
      <c r="K196" s="5"/>
      <c r="L196" s="1"/>
      <c r="N196" s="3"/>
      <c r="O196" s="27"/>
      <c r="Q196" s="28"/>
    </row>
    <row r="197" spans="1:17" x14ac:dyDescent="0.2">
      <c r="A197" s="52">
        <v>42064</v>
      </c>
      <c r="B197" s="67"/>
      <c r="C197" s="68">
        <f t="shared" si="25"/>
        <v>684.83999999999992</v>
      </c>
      <c r="D197" s="68">
        <f t="shared" si="25"/>
        <v>6.9999999999999993E-2</v>
      </c>
      <c r="E197" s="53">
        <v>31</v>
      </c>
      <c r="F197" s="53">
        <v>1</v>
      </c>
      <c r="G197" s="53">
        <v>1</v>
      </c>
      <c r="H197" s="64">
        <f t="shared" si="24"/>
        <v>5</v>
      </c>
      <c r="I197" s="53">
        <f t="shared" si="24"/>
        <v>261.60000000000002</v>
      </c>
      <c r="J197" s="53">
        <f t="shared" si="26"/>
        <v>52916211.588920496</v>
      </c>
      <c r="K197" s="5"/>
      <c r="L197" s="1"/>
      <c r="N197" s="3"/>
      <c r="O197" s="27"/>
      <c r="Q197" s="28"/>
    </row>
    <row r="198" spans="1:17" x14ac:dyDescent="0.2">
      <c r="A198" s="52">
        <v>42095</v>
      </c>
      <c r="B198" s="67"/>
      <c r="C198" s="68">
        <f t="shared" si="25"/>
        <v>410.3549999999999</v>
      </c>
      <c r="D198" s="68">
        <f t="shared" si="25"/>
        <v>5.9000000000000011E-2</v>
      </c>
      <c r="E198" s="53">
        <v>30</v>
      </c>
      <c r="F198" s="53">
        <v>1</v>
      </c>
      <c r="G198" s="53">
        <v>1</v>
      </c>
      <c r="H198" s="64">
        <f t="shared" si="24"/>
        <v>5</v>
      </c>
      <c r="I198" s="53">
        <f t="shared" si="24"/>
        <v>261.60000000000002</v>
      </c>
      <c r="J198" s="53">
        <f t="shared" si="26"/>
        <v>44967295.644517489</v>
      </c>
      <c r="K198" s="5"/>
      <c r="L198" s="1"/>
      <c r="N198" s="3"/>
      <c r="O198" s="27"/>
      <c r="Q198" s="28"/>
    </row>
    <row r="199" spans="1:17" x14ac:dyDescent="0.2">
      <c r="A199" s="52">
        <v>42125</v>
      </c>
      <c r="B199" s="67"/>
      <c r="C199" s="68">
        <f t="shared" si="25"/>
        <v>194.45499999999998</v>
      </c>
      <c r="D199" s="68">
        <f t="shared" si="25"/>
        <v>9.14</v>
      </c>
      <c r="E199" s="53">
        <v>31</v>
      </c>
      <c r="F199" s="53">
        <v>1</v>
      </c>
      <c r="G199" s="53">
        <v>1</v>
      </c>
      <c r="H199" s="64">
        <f t="shared" si="24"/>
        <v>5</v>
      </c>
      <c r="I199" s="53">
        <f t="shared" si="24"/>
        <v>261.60000000000002</v>
      </c>
      <c r="J199" s="53">
        <f t="shared" si="26"/>
        <v>41551044.139878385</v>
      </c>
      <c r="K199" s="5"/>
      <c r="L199" s="1"/>
      <c r="N199" s="3"/>
      <c r="O199" s="27"/>
      <c r="Q199" s="28"/>
    </row>
    <row r="200" spans="1:17" x14ac:dyDescent="0.2">
      <c r="A200" s="52">
        <v>42156</v>
      </c>
      <c r="B200" s="67"/>
      <c r="C200" s="68">
        <f t="shared" si="25"/>
        <v>63.844999999999992</v>
      </c>
      <c r="D200" s="68">
        <f t="shared" si="25"/>
        <v>34.1</v>
      </c>
      <c r="E200" s="53">
        <v>30</v>
      </c>
      <c r="F200" s="53">
        <v>0</v>
      </c>
      <c r="G200" s="53">
        <v>1</v>
      </c>
      <c r="H200" s="64">
        <f t="shared" si="24"/>
        <v>5</v>
      </c>
      <c r="I200" s="53">
        <f t="shared" si="24"/>
        <v>261.60000000000002</v>
      </c>
      <c r="J200" s="53">
        <f t="shared" si="26"/>
        <v>41068704.974155925</v>
      </c>
      <c r="K200" s="5"/>
      <c r="L200" s="1"/>
      <c r="N200" s="3"/>
      <c r="O200" s="27"/>
      <c r="Q200" s="28"/>
    </row>
    <row r="201" spans="1:17" x14ac:dyDescent="0.2">
      <c r="A201" s="52">
        <v>42186</v>
      </c>
      <c r="B201" s="67"/>
      <c r="C201" s="68">
        <f t="shared" si="25"/>
        <v>22.815000000000001</v>
      </c>
      <c r="D201" s="68">
        <f t="shared" si="25"/>
        <v>60.570000000000007</v>
      </c>
      <c r="E201" s="53">
        <v>31</v>
      </c>
      <c r="F201" s="53">
        <v>0</v>
      </c>
      <c r="G201" s="53">
        <v>1</v>
      </c>
      <c r="H201" s="64">
        <f t="shared" si="24"/>
        <v>5</v>
      </c>
      <c r="I201" s="53">
        <f t="shared" si="24"/>
        <v>261.60000000000002</v>
      </c>
      <c r="J201" s="53">
        <f t="shared" si="26"/>
        <v>43402452.545178495</v>
      </c>
      <c r="K201" s="5"/>
      <c r="L201" s="1"/>
      <c r="N201" s="3"/>
      <c r="O201" s="27"/>
      <c r="Q201" s="28"/>
    </row>
    <row r="202" spans="1:17" x14ac:dyDescent="0.2">
      <c r="A202" s="52">
        <v>42217</v>
      </c>
      <c r="B202" s="67"/>
      <c r="C202" s="68">
        <f t="shared" si="25"/>
        <v>38.510000000000005</v>
      </c>
      <c r="D202" s="68">
        <f t="shared" si="25"/>
        <v>39.844999999999999</v>
      </c>
      <c r="E202" s="53">
        <v>31</v>
      </c>
      <c r="F202" s="53">
        <v>0</v>
      </c>
      <c r="G202" s="53">
        <v>1</v>
      </c>
      <c r="H202" s="64">
        <f t="shared" si="24"/>
        <v>5</v>
      </c>
      <c r="I202" s="53">
        <f t="shared" si="24"/>
        <v>261.60000000000002</v>
      </c>
      <c r="J202" s="53">
        <f t="shared" si="26"/>
        <v>42084512.963390149</v>
      </c>
      <c r="K202" s="5"/>
      <c r="L202" s="1"/>
      <c r="N202" s="3"/>
      <c r="O202" s="27"/>
      <c r="Q202" s="28"/>
    </row>
    <row r="203" spans="1:17" x14ac:dyDescent="0.2">
      <c r="A203" s="52">
        <v>42248</v>
      </c>
      <c r="B203" s="67"/>
      <c r="C203" s="68">
        <f t="shared" si="25"/>
        <v>145.185</v>
      </c>
      <c r="D203" s="68">
        <f t="shared" si="25"/>
        <v>9.1249999999999982</v>
      </c>
      <c r="E203" s="53">
        <v>30</v>
      </c>
      <c r="F203" s="53">
        <v>1</v>
      </c>
      <c r="G203" s="53">
        <v>1</v>
      </c>
      <c r="H203" s="64">
        <f t="shared" si="24"/>
        <v>5</v>
      </c>
      <c r="I203" s="53">
        <f t="shared" si="24"/>
        <v>261.60000000000002</v>
      </c>
      <c r="J203" s="53">
        <f t="shared" si="26"/>
        <v>39164186.612284295</v>
      </c>
      <c r="K203" s="5"/>
      <c r="L203" s="1"/>
      <c r="N203" s="3"/>
      <c r="O203" s="27"/>
      <c r="Q203" s="28"/>
    </row>
    <row r="204" spans="1:17" x14ac:dyDescent="0.2">
      <c r="A204" s="52">
        <v>42278</v>
      </c>
      <c r="B204" s="67"/>
      <c r="C204" s="68">
        <f t="shared" si="25"/>
        <v>341.38499999999999</v>
      </c>
      <c r="D204" s="68">
        <f t="shared" si="25"/>
        <v>0.95</v>
      </c>
      <c r="E204" s="53">
        <v>31</v>
      </c>
      <c r="F204" s="53">
        <v>1</v>
      </c>
      <c r="G204" s="53">
        <v>1</v>
      </c>
      <c r="H204" s="64">
        <f t="shared" si="24"/>
        <v>5</v>
      </c>
      <c r="I204" s="53">
        <f t="shared" si="24"/>
        <v>261.60000000000002</v>
      </c>
      <c r="J204" s="53">
        <f t="shared" si="26"/>
        <v>44505938.157278664</v>
      </c>
      <c r="K204" s="5"/>
      <c r="L204" s="1"/>
      <c r="N204" s="3"/>
      <c r="O204" s="27"/>
      <c r="Q204" s="28"/>
    </row>
    <row r="205" spans="1:17" x14ac:dyDescent="0.2">
      <c r="A205" s="52">
        <v>42309</v>
      </c>
      <c r="B205" s="67"/>
      <c r="C205" s="68">
        <f t="shared" si="25"/>
        <v>546.625</v>
      </c>
      <c r="D205" s="68">
        <f t="shared" si="25"/>
        <v>0</v>
      </c>
      <c r="E205" s="53">
        <v>30</v>
      </c>
      <c r="F205" s="53">
        <v>1</v>
      </c>
      <c r="G205" s="53">
        <v>1</v>
      </c>
      <c r="H205" s="64">
        <f t="shared" si="24"/>
        <v>5</v>
      </c>
      <c r="I205" s="53">
        <f t="shared" si="24"/>
        <v>261.60000000000002</v>
      </c>
      <c r="J205" s="53">
        <f t="shared" si="26"/>
        <v>48328053.320293494</v>
      </c>
      <c r="K205" s="5"/>
      <c r="L205" s="1"/>
      <c r="N205" s="3"/>
      <c r="O205" s="27"/>
      <c r="Q205" s="28"/>
    </row>
    <row r="206" spans="1:17" x14ac:dyDescent="0.2">
      <c r="A206" s="52">
        <v>42339</v>
      </c>
      <c r="B206" s="67"/>
      <c r="C206" s="68">
        <f>(C194+C182+C170+C158+C146+C134+C122+C110+C98+C86)/10</f>
        <v>804.39999999999986</v>
      </c>
      <c r="D206" s="68">
        <f t="shared" si="25"/>
        <v>0</v>
      </c>
      <c r="E206" s="53">
        <v>31</v>
      </c>
      <c r="F206" s="53">
        <v>0</v>
      </c>
      <c r="G206" s="53">
        <v>1</v>
      </c>
      <c r="H206" s="64">
        <f t="shared" si="24"/>
        <v>5</v>
      </c>
      <c r="I206" s="53">
        <f t="shared" si="24"/>
        <v>261.60000000000002</v>
      </c>
      <c r="J206" s="53">
        <f t="shared" si="26"/>
        <v>57721489.043038152</v>
      </c>
      <c r="K206" s="5"/>
      <c r="L206" s="1"/>
      <c r="N206" s="3"/>
      <c r="O206" s="27"/>
      <c r="Q206" s="28"/>
    </row>
    <row r="207" spans="1:17" x14ac:dyDescent="0.2">
      <c r="A207" s="52"/>
      <c r="B207" s="53"/>
      <c r="C207" s="54"/>
      <c r="D207" s="54"/>
      <c r="E207" s="53"/>
      <c r="F207" s="53"/>
      <c r="G207" s="53"/>
      <c r="H207" s="53"/>
      <c r="I207" s="53"/>
      <c r="J207" s="53"/>
      <c r="K207" s="5"/>
      <c r="L207" s="1"/>
      <c r="N207" s="3"/>
      <c r="O207" s="27"/>
      <c r="Q207" s="28"/>
    </row>
    <row r="208" spans="1:17" x14ac:dyDescent="0.2">
      <c r="A208" s="52"/>
      <c r="J208" s="56">
        <f>SUM(J3:J206)</f>
        <v>9984781121.5421944</v>
      </c>
    </row>
    <row r="209" spans="1:17" x14ac:dyDescent="0.2">
      <c r="A209" s="52"/>
      <c r="J209" s="56"/>
    </row>
    <row r="210" spans="1:17" x14ac:dyDescent="0.2">
      <c r="A210" s="40"/>
      <c r="K210" s="11"/>
      <c r="L210" s="29"/>
    </row>
    <row r="211" spans="1:17" x14ac:dyDescent="0.2">
      <c r="A211" s="44" t="s">
        <v>37</v>
      </c>
    </row>
    <row r="212" spans="1:17" x14ac:dyDescent="0.2">
      <c r="A212" s="57">
        <v>1999</v>
      </c>
      <c r="B212" s="25">
        <f>SUM(B3:B14)</f>
        <v>586785297.19999993</v>
      </c>
      <c r="J212" s="25">
        <f>SUM(J3:J14)</f>
        <v>588740751.93686354</v>
      </c>
      <c r="N212" s="30">
        <f t="shared" ref="N212:N228" si="27">J212-B212</f>
        <v>1955454.7368636131</v>
      </c>
      <c r="O212" s="31">
        <f t="shared" ref="O212:O227" si="28">N212/B212</f>
        <v>3.3324876171822618E-3</v>
      </c>
    </row>
    <row r="213" spans="1:17" x14ac:dyDescent="0.2">
      <c r="A213" s="24">
        <v>2000</v>
      </c>
      <c r="B213" s="25">
        <f>SUM(B15:B26)</f>
        <v>590756479.69999993</v>
      </c>
      <c r="J213" s="25">
        <f>SUM(J15:J26)</f>
        <v>590899916.98291695</v>
      </c>
      <c r="N213" s="30">
        <f t="shared" si="27"/>
        <v>143437.28291702271</v>
      </c>
      <c r="O213" s="31">
        <f t="shared" si="28"/>
        <v>2.4280272471977545E-4</v>
      </c>
    </row>
    <row r="214" spans="1:17" x14ac:dyDescent="0.2">
      <c r="A214" s="57">
        <v>2001</v>
      </c>
      <c r="B214" s="25">
        <f>SUM(B27:B38)</f>
        <v>587842839.79999995</v>
      </c>
      <c r="J214" s="25">
        <f>SUM(J27:J38)</f>
        <v>588360983.68913829</v>
      </c>
      <c r="N214" s="30">
        <f t="shared" si="27"/>
        <v>518143.88913834095</v>
      </c>
      <c r="O214" s="31">
        <f t="shared" si="28"/>
        <v>8.8143267903820612E-4</v>
      </c>
    </row>
    <row r="215" spans="1:17" x14ac:dyDescent="0.2">
      <c r="A215" s="24">
        <v>2002</v>
      </c>
      <c r="B215" s="25">
        <f>SUM(B39:B50)</f>
        <v>593838876.10000002</v>
      </c>
      <c r="J215" s="25">
        <f>SUM(J39:J50)</f>
        <v>598768978.87238348</v>
      </c>
      <c r="N215" s="30">
        <f t="shared" si="27"/>
        <v>4930102.7723834515</v>
      </c>
      <c r="O215" s="31">
        <f t="shared" si="28"/>
        <v>8.3020882781565195E-3</v>
      </c>
    </row>
    <row r="216" spans="1:17" x14ac:dyDescent="0.2">
      <c r="A216" s="57">
        <v>2003</v>
      </c>
      <c r="B216" s="25">
        <f>SUM(B51:B62)</f>
        <v>594630408</v>
      </c>
      <c r="J216" s="25">
        <f>SUM(J51:J62)</f>
        <v>596360494.9476167</v>
      </c>
      <c r="N216" s="30">
        <f t="shared" si="27"/>
        <v>1730086.9476166964</v>
      </c>
      <c r="O216" s="31">
        <f t="shared" si="28"/>
        <v>2.9095164396918905E-3</v>
      </c>
    </row>
    <row r="217" spans="1:17" x14ac:dyDescent="0.2">
      <c r="A217" s="24">
        <v>2004</v>
      </c>
      <c r="B217" s="25">
        <f>SUM(B63:B74)</f>
        <v>601756740</v>
      </c>
      <c r="J217" s="25">
        <f>SUM(J63:J74)</f>
        <v>597371588.49967241</v>
      </c>
      <c r="N217" s="30">
        <f t="shared" si="27"/>
        <v>-4385151.5003275871</v>
      </c>
      <c r="O217" s="31">
        <f t="shared" si="28"/>
        <v>-7.2872494960797398E-3</v>
      </c>
    </row>
    <row r="218" spans="1:17" x14ac:dyDescent="0.2">
      <c r="A218" s="57">
        <v>2005</v>
      </c>
      <c r="B218" s="25">
        <f>SUM(B75:B86)</f>
        <v>606363661</v>
      </c>
      <c r="J218" s="25">
        <f>SUM(J75:J86)</f>
        <v>601823137.12702036</v>
      </c>
      <c r="N218" s="30">
        <f t="shared" si="27"/>
        <v>-4540523.872979641</v>
      </c>
      <c r="O218" s="31">
        <f t="shared" si="28"/>
        <v>-7.4881200260113225E-3</v>
      </c>
    </row>
    <row r="219" spans="1:17" x14ac:dyDescent="0.2">
      <c r="A219" s="24">
        <v>2006</v>
      </c>
      <c r="B219" s="25">
        <f>SUM(B87:B98)</f>
        <v>585762798</v>
      </c>
      <c r="J219" s="25">
        <f>SUM(J87:J98)</f>
        <v>585762570.30313039</v>
      </c>
      <c r="N219" s="30">
        <f t="shared" si="27"/>
        <v>-227.69686961174011</v>
      </c>
      <c r="O219" s="31">
        <f t="shared" si="28"/>
        <v>-3.8871855704933333E-7</v>
      </c>
    </row>
    <row r="220" spans="1:17" x14ac:dyDescent="0.2">
      <c r="A220" s="57">
        <v>2007</v>
      </c>
      <c r="B220" s="25">
        <f>SUM(B99:B110)</f>
        <v>598640314</v>
      </c>
      <c r="J220" s="25">
        <f>SUM(J99:J110)</f>
        <v>598041779.52535558</v>
      </c>
      <c r="N220" s="30">
        <f t="shared" si="27"/>
        <v>-598534.47464442253</v>
      </c>
      <c r="O220" s="31">
        <f t="shared" si="28"/>
        <v>-9.9982320042085E-4</v>
      </c>
    </row>
    <row r="221" spans="1:17" x14ac:dyDescent="0.2">
      <c r="A221" s="24">
        <v>2008</v>
      </c>
      <c r="B221" s="25">
        <f>SUM(B111:B122)</f>
        <v>594903991</v>
      </c>
      <c r="J221" s="25">
        <f>SUM(J111:J122)</f>
        <v>593851020.25180936</v>
      </c>
      <c r="N221" s="30">
        <f t="shared" si="27"/>
        <v>-1052970.7481906414</v>
      </c>
      <c r="O221" s="31">
        <f t="shared" si="28"/>
        <v>-1.7699843405330953E-3</v>
      </c>
    </row>
    <row r="222" spans="1:17" x14ac:dyDescent="0.2">
      <c r="A222" s="24">
        <v>2009</v>
      </c>
      <c r="B222" s="25">
        <f>SUM(B123:B134)</f>
        <v>580320683.07692301</v>
      </c>
      <c r="J222" s="25">
        <f>SUM(J123:J134)</f>
        <v>590757886.75578213</v>
      </c>
      <c r="N222" s="30">
        <f t="shared" si="27"/>
        <v>10437203.678859115</v>
      </c>
      <c r="O222" s="31">
        <f t="shared" si="28"/>
        <v>1.7985234687000869E-2</v>
      </c>
    </row>
    <row r="223" spans="1:17" x14ac:dyDescent="0.2">
      <c r="A223" s="24">
        <v>2010</v>
      </c>
      <c r="B223" s="25">
        <f>SUM(B135:B146)</f>
        <v>592105953.84615386</v>
      </c>
      <c r="G223" s="58"/>
      <c r="H223" s="58"/>
      <c r="I223" s="58"/>
      <c r="J223" s="25">
        <f>SUM(J135:J146)</f>
        <v>586241508.24888623</v>
      </c>
      <c r="N223" s="30">
        <f t="shared" si="27"/>
        <v>-5864445.5972676277</v>
      </c>
      <c r="O223" s="31">
        <f t="shared" si="28"/>
        <v>-9.9043854552953534E-3</v>
      </c>
      <c r="P223" s="33"/>
      <c r="Q223" s="33"/>
    </row>
    <row r="224" spans="1:17" x14ac:dyDescent="0.2">
      <c r="A224" s="24">
        <v>2011</v>
      </c>
      <c r="B224" s="25">
        <f>SUM(B147:B158)</f>
        <v>593738607.69230771</v>
      </c>
      <c r="G224" s="58"/>
      <c r="H224" s="58"/>
      <c r="I224" s="58"/>
      <c r="J224" s="25">
        <f>SUM(J147:J158)</f>
        <v>591615199.65072572</v>
      </c>
      <c r="N224" s="30">
        <f t="shared" si="27"/>
        <v>-2123408.0415819883</v>
      </c>
      <c r="O224" s="31">
        <f t="shared" si="28"/>
        <v>-3.5763347945909538E-3</v>
      </c>
      <c r="P224" s="33"/>
      <c r="Q224" s="33"/>
    </row>
    <row r="225" spans="1:18" x14ac:dyDescent="0.2">
      <c r="A225" s="24">
        <v>2012</v>
      </c>
      <c r="B225" s="25">
        <f>SUM(B159:B170)</f>
        <v>572612692.67601395</v>
      </c>
      <c r="G225" s="58"/>
      <c r="H225" s="58"/>
      <c r="I225" s="58"/>
      <c r="J225" s="25">
        <f>SUM(J159:J170)</f>
        <v>561350529.46043992</v>
      </c>
      <c r="N225" s="30">
        <f t="shared" si="27"/>
        <v>-11262163.215574026</v>
      </c>
      <c r="O225" s="31">
        <f t="shared" si="28"/>
        <v>-1.966802929732854E-2</v>
      </c>
      <c r="P225" s="23"/>
      <c r="Q225" s="33"/>
    </row>
    <row r="226" spans="1:18" x14ac:dyDescent="0.2">
      <c r="A226" s="24">
        <v>2013</v>
      </c>
      <c r="B226" s="25">
        <f>SUM(B171:B182)</f>
        <v>573172084.77666664</v>
      </c>
      <c r="G226" s="58"/>
      <c r="H226" s="58"/>
      <c r="I226" s="58"/>
      <c r="J226" s="25">
        <f>SUM(J171:J182)</f>
        <v>571646855.58022332</v>
      </c>
      <c r="N226" s="30">
        <f t="shared" si="27"/>
        <v>-1525229.1964433193</v>
      </c>
      <c r="O226" s="31">
        <f t="shared" si="28"/>
        <v>-2.6610318906888433E-3</v>
      </c>
      <c r="P226" s="23"/>
      <c r="Q226" s="33"/>
    </row>
    <row r="227" spans="1:18" x14ac:dyDescent="0.2">
      <c r="A227" s="24">
        <v>2014</v>
      </c>
      <c r="B227" s="25">
        <f>SUM(B183:B194)</f>
        <v>561189731.7228204</v>
      </c>
      <c r="G227" s="58"/>
      <c r="H227" s="58"/>
      <c r="I227" s="58"/>
      <c r="J227" s="25">
        <f>SUM(J183:J194)</f>
        <v>572827956.75892258</v>
      </c>
      <c r="N227" s="30">
        <f t="shared" si="27"/>
        <v>11638225.036102176</v>
      </c>
      <c r="O227" s="31">
        <f t="shared" si="28"/>
        <v>2.0738485361044456E-2</v>
      </c>
      <c r="P227" s="23"/>
      <c r="Q227" s="30"/>
      <c r="R227" s="30"/>
    </row>
    <row r="228" spans="1:18" x14ac:dyDescent="0.2">
      <c r="A228" s="24">
        <v>2015</v>
      </c>
      <c r="B228" s="25">
        <f>SUM(B195:B206)</f>
        <v>0</v>
      </c>
      <c r="G228" s="58"/>
      <c r="H228" s="58"/>
      <c r="I228" s="58"/>
      <c r="J228" s="25">
        <f>SUM(J195:J206)</f>
        <v>570359962.95130134</v>
      </c>
      <c r="N228" s="30">
        <f t="shared" si="27"/>
        <v>570359962.95130134</v>
      </c>
      <c r="O228" s="47"/>
      <c r="P228" s="30"/>
      <c r="Q228" s="48"/>
      <c r="R228" s="45"/>
    </row>
    <row r="229" spans="1:18" x14ac:dyDescent="0.2">
      <c r="G229" s="58"/>
      <c r="H229" s="58"/>
      <c r="I229" s="58"/>
      <c r="J229" s="25"/>
      <c r="N229" s="34"/>
      <c r="O229" s="35"/>
      <c r="P229" s="33"/>
      <c r="Q229" s="49"/>
    </row>
    <row r="230" spans="1:18" x14ac:dyDescent="0.2">
      <c r="G230" s="58"/>
      <c r="H230" s="58"/>
      <c r="I230" s="58"/>
      <c r="J230" s="59"/>
      <c r="N230" s="32"/>
      <c r="O230" s="32"/>
      <c r="P230" s="33"/>
      <c r="Q230" s="49"/>
    </row>
    <row r="231" spans="1:18" ht="13.5" thickBot="1" x14ac:dyDescent="0.25">
      <c r="A231" s="60" t="s">
        <v>36</v>
      </c>
      <c r="B231" s="25">
        <f>SUM(B212:B227)</f>
        <v>9414421158.5908852</v>
      </c>
      <c r="G231" s="58"/>
      <c r="H231" s="58"/>
      <c r="I231" s="58"/>
      <c r="J231" s="25">
        <f>SUM(J212:J227)</f>
        <v>9414421158.5908852</v>
      </c>
      <c r="N231" s="41">
        <f>J231-B231</f>
        <v>0</v>
      </c>
      <c r="O231" s="32"/>
      <c r="P231" s="33"/>
      <c r="Q231" s="49"/>
    </row>
    <row r="232" spans="1:18" x14ac:dyDescent="0.2">
      <c r="G232" s="58"/>
      <c r="H232" s="58"/>
      <c r="I232" s="58"/>
      <c r="J232" s="58"/>
      <c r="N232" s="32"/>
      <c r="O232" s="32"/>
      <c r="P232" s="33"/>
      <c r="Q232" s="33"/>
    </row>
    <row r="233" spans="1:18" ht="13.5" thickBot="1" x14ac:dyDescent="0.25">
      <c r="G233" s="58"/>
      <c r="H233" s="58"/>
      <c r="I233" s="58"/>
      <c r="J233" s="26">
        <f>SUM(J212:J228)</f>
        <v>9984781121.5421867</v>
      </c>
      <c r="N233" s="42">
        <f>J208-J233</f>
        <v>0</v>
      </c>
      <c r="O233" s="36"/>
      <c r="P233" s="33"/>
      <c r="Q233" s="33"/>
    </row>
    <row r="234" spans="1:18" x14ac:dyDescent="0.2">
      <c r="G234" s="58"/>
      <c r="H234" s="58"/>
      <c r="I234" s="58"/>
      <c r="J234" s="58"/>
      <c r="N234" s="32" t="s">
        <v>31</v>
      </c>
      <c r="O234" s="32"/>
      <c r="P234" s="33"/>
      <c r="Q234" s="33"/>
    </row>
    <row r="235" spans="1:18" x14ac:dyDescent="0.2">
      <c r="G235" s="58"/>
      <c r="H235" s="58"/>
      <c r="I235" s="58"/>
      <c r="J235" s="58"/>
      <c r="N235" s="32"/>
      <c r="O235" s="32"/>
      <c r="P235" s="33"/>
      <c r="Q235" s="33"/>
    </row>
  </sheetData>
  <phoneticPr fontId="0" type="noConversion"/>
  <pageMargins left="0.39" right="0.26" top="1" bottom="1" header="0.5" footer="0.5"/>
  <pageSetup orientation="landscape" verticalDpi="300" r:id="rId1"/>
  <headerFooter alignWithMargins="0">
    <oddFooter>&amp;C&amp;A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Purchased Power Model</vt:lpstr>
      <vt:lpstr>'Purchased Power Model'!Print_Area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Melissa Casson</cp:lastModifiedBy>
  <cp:lastPrinted>2014-12-08T18:53:42Z</cp:lastPrinted>
  <dcterms:created xsi:type="dcterms:W3CDTF">2008-02-06T18:24:44Z</dcterms:created>
  <dcterms:modified xsi:type="dcterms:W3CDTF">2015-04-22T19:27:56Z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