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-90" windowWidth="12120" windowHeight="8415" tabRatio="602"/>
  </bookViews>
  <sheets>
    <sheet name="Purchased Power Model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CAP1000">#REF!</definedName>
    <definedName name="__OP1000">#REF!</definedName>
    <definedName name="_110">#REF!</definedName>
    <definedName name="_110INPT">#REF!</definedName>
    <definedName name="_115">#REF!</definedName>
    <definedName name="_115INPT">#REF!</definedName>
    <definedName name="_120">#REF!</definedName>
    <definedName name="_140">#REF!</definedName>
    <definedName name="_140INPT">#REF!</definedName>
    <definedName name="_CAP1000">#REF!</definedName>
    <definedName name="_Fill" hidden="1">'[1]Old MEA Statistics'!$B$250</definedName>
    <definedName name="_OP1000">#REF!</definedName>
    <definedName name="_Order1" hidden="1">255</definedName>
    <definedName name="_Order2" hidden="1">0</definedName>
    <definedName name="_Sort" hidden="1">[2]Sheet1!$G$40:$K$40</definedName>
    <definedName name="ALL">#REF!</definedName>
    <definedName name="ApprovedYr">[3]Z1.ModelVariables!$C$12</definedName>
    <definedName name="CAPCOSTS">#REF!</definedName>
    <definedName name="CAPITAL">#REF!</definedName>
    <definedName name="CapitalExpListing">#REF!</definedName>
    <definedName name="CASHFLOW">#REF!</definedName>
    <definedName name="cc">#REF!</definedName>
    <definedName name="contactf">#REF!</definedName>
    <definedName name="_xlnm.Criteria">#REF!</definedName>
    <definedName name="CRLF">[3]Z1.ModelVariables!$C$10</definedName>
    <definedName name="_xlnm.Database">#REF!</definedName>
    <definedName name="DaysInPreviousYear">'[4]Distribution Revenue by Source'!$B$22</definedName>
    <definedName name="DaysInYear">'[4]Distribution Revenue by Source'!$B$21</definedName>
    <definedName name="DEBTREPAY">#REF!</definedName>
    <definedName name="DeptDiv">#REF!</definedName>
    <definedName name="ExpenseAccountListing">#REF!</definedName>
    <definedName name="_xlnm.Extract">#REF!</definedName>
    <definedName name="FakeBlank">[3]Z1.ModelVariables!$C$14</definedName>
    <definedName name="histdate">[5]Financials!$E$76</definedName>
    <definedName name="Incr2000">#REF!</definedName>
    <definedName name="INTERIM">#REF!</definedName>
    <definedName name="LIMIT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ea">#REF!</definedName>
    <definedName name="MEABAL">#REF!</definedName>
    <definedName name="MEACASH">#REF!</definedName>
    <definedName name="MEAEQITY">#REF!</definedName>
    <definedName name="MEAOP">#REF!</definedName>
    <definedName name="MofF">#REF!</definedName>
    <definedName name="NOTES">#REF!</definedName>
    <definedName name="OPERATING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AGE11">#REF!</definedName>
    <definedName name="PAGE2">[2]Sheet1!$A$1:$I$40</definedName>
    <definedName name="PAGE3">#REF!</definedName>
    <definedName name="PAGE4">#REF!</definedName>
    <definedName name="PAGE7">#REF!</definedName>
    <definedName name="PAGE9">#REF!</definedName>
    <definedName name="PageOne">#REF!</definedName>
    <definedName name="PR">#REF!</definedName>
    <definedName name="_xlnm.Print_Area" localSheetId="0">'Purchased Power Model'!$P$32:$T$50</definedName>
    <definedName name="Print_Area_MI">#REF!</definedName>
    <definedName name="print_end">#REF!</definedName>
    <definedName name="PRIOR">#REF!</definedName>
    <definedName name="Ratebase">'[4]Distribution Revenue by Source'!$C$25</definedName>
    <definedName name="RVCASHPR">#REF!</definedName>
    <definedName name="SALBENF">#REF!</definedName>
    <definedName name="salreg">#REF!</definedName>
    <definedName name="SALREGF">#REF!</definedName>
    <definedName name="SOURCEAPP">#REF!</definedName>
    <definedName name="STATS1">#REF!</definedName>
    <definedName name="STATS2">#REF!</definedName>
    <definedName name="Surtax">#REF!</definedName>
    <definedName name="TEMPA">#REF!</definedName>
    <definedName name="TestYr">[3]A1.Admin!$C$13</definedName>
    <definedName name="TestYrPL">'[6]Revenue Requirement'!$B$10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CAPADDITIONS">#REF!</definedName>
    <definedName name="TRANBUD">#REF!</definedName>
    <definedName name="TRANEND">#REF!</definedName>
    <definedName name="TRANSCAP">#REF!</definedName>
    <definedName name="TRANSFER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Utility">[5]Financials!$A$1</definedName>
    <definedName name="utitliy1">[7]Financials!$A$1</definedName>
    <definedName name="WAGBENF">#REF!</definedName>
    <definedName name="wagdob">#REF!</definedName>
    <definedName name="wagdobf">#REF!</definedName>
    <definedName name="wagreg">#REF!</definedName>
    <definedName name="wagregf">#REF!</definedName>
  </definedNames>
  <calcPr calcId="145621" iterate="1" iterateCount="1000"/>
</workbook>
</file>

<file path=xl/calcChain.xml><?xml version="1.0" encoding="utf-8"?>
<calcChain xmlns="http://schemas.openxmlformats.org/spreadsheetml/2006/main">
  <c r="D206" i="7" l="1"/>
  <c r="C206" i="7"/>
  <c r="D205" i="7"/>
  <c r="C205" i="7"/>
  <c r="D204" i="7"/>
  <c r="C204" i="7"/>
  <c r="D203" i="7"/>
  <c r="C203" i="7"/>
  <c r="D202" i="7"/>
  <c r="C202" i="7"/>
  <c r="D201" i="7"/>
  <c r="C201" i="7"/>
  <c r="D200" i="7"/>
  <c r="C200" i="7"/>
  <c r="D199" i="7"/>
  <c r="C199" i="7"/>
  <c r="D198" i="7"/>
  <c r="C198" i="7"/>
  <c r="D197" i="7"/>
  <c r="C197" i="7"/>
  <c r="D196" i="7"/>
  <c r="C196" i="7"/>
  <c r="D195" i="7"/>
  <c r="C195" i="7"/>
  <c r="I195" i="7"/>
  <c r="I196" i="7" s="1"/>
  <c r="I197" i="7" s="1"/>
  <c r="I198" i="7" s="1"/>
  <c r="I199" i="7" s="1"/>
  <c r="I200" i="7" s="1"/>
  <c r="I201" i="7" s="1"/>
  <c r="I202" i="7" s="1"/>
  <c r="I203" i="7" s="1"/>
  <c r="I204" i="7" s="1"/>
  <c r="I205" i="7" s="1"/>
  <c r="I206" i="7" s="1"/>
  <c r="Q49" i="7" l="1"/>
  <c r="P49" i="7"/>
  <c r="Q48" i="7"/>
  <c r="Q47" i="7"/>
  <c r="Q46" i="7"/>
  <c r="Q45" i="7"/>
  <c r="Q44" i="7"/>
  <c r="Q43" i="7"/>
  <c r="Q41" i="7"/>
  <c r="Q40" i="7"/>
  <c r="P40" i="7"/>
  <c r="P48" i="7" s="1"/>
  <c r="Q39" i="7"/>
  <c r="P39" i="7"/>
  <c r="P47" i="7" s="1"/>
  <c r="Q38" i="7"/>
  <c r="P38" i="7"/>
  <c r="P46" i="7" s="1"/>
  <c r="Q37" i="7"/>
  <c r="P37" i="7"/>
  <c r="P45" i="7" s="1"/>
  <c r="Q36" i="7"/>
  <c r="P36" i="7"/>
  <c r="P44" i="7" s="1"/>
  <c r="Q35" i="7"/>
  <c r="P35" i="7"/>
  <c r="P43" i="7" s="1"/>
  <c r="Q32" i="7"/>
  <c r="Q31" i="7"/>
  <c r="Q30" i="7"/>
  <c r="J4" i="7" l="1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N183" i="7" s="1"/>
  <c r="O183" i="7" s="1"/>
  <c r="J184" i="7"/>
  <c r="N184" i="7" s="1"/>
  <c r="O184" i="7" s="1"/>
  <c r="J185" i="7"/>
  <c r="N185" i="7" s="1"/>
  <c r="O185" i="7" s="1"/>
  <c r="J186" i="7"/>
  <c r="N186" i="7" s="1"/>
  <c r="O186" i="7" s="1"/>
  <c r="J187" i="7"/>
  <c r="N187" i="7" s="1"/>
  <c r="O187" i="7" s="1"/>
  <c r="J188" i="7"/>
  <c r="N188" i="7" s="1"/>
  <c r="O188" i="7" s="1"/>
  <c r="J189" i="7"/>
  <c r="N189" i="7" s="1"/>
  <c r="O189" i="7" s="1"/>
  <c r="J190" i="7"/>
  <c r="N190" i="7" s="1"/>
  <c r="O190" i="7" s="1"/>
  <c r="J191" i="7"/>
  <c r="N191" i="7" s="1"/>
  <c r="O191" i="7" s="1"/>
  <c r="J192" i="7"/>
  <c r="N192" i="7" s="1"/>
  <c r="O192" i="7" s="1"/>
  <c r="J193" i="7"/>
  <c r="N193" i="7" s="1"/>
  <c r="O193" i="7" s="1"/>
  <c r="J194" i="7"/>
  <c r="N194" i="7" s="1"/>
  <c r="O194" i="7" s="1"/>
  <c r="J3" i="7"/>
  <c r="B228" i="7" l="1"/>
  <c r="B227" i="7"/>
  <c r="N182" i="7"/>
  <c r="O182" i="7" s="1"/>
  <c r="N181" i="7"/>
  <c r="O181" i="7" s="1"/>
  <c r="N180" i="7"/>
  <c r="O180" i="7" s="1"/>
  <c r="N179" i="7"/>
  <c r="O179" i="7" s="1"/>
  <c r="N178" i="7"/>
  <c r="O178" i="7" s="1"/>
  <c r="N177" i="7"/>
  <c r="O177" i="7" s="1"/>
  <c r="N176" i="7"/>
  <c r="O176" i="7" s="1"/>
  <c r="N175" i="7"/>
  <c r="O175" i="7" s="1"/>
  <c r="N174" i="7"/>
  <c r="O174" i="7" s="1"/>
  <c r="N173" i="7"/>
  <c r="O173" i="7" s="1"/>
  <c r="N172" i="7"/>
  <c r="O172" i="7" s="1"/>
  <c r="N171" i="7"/>
  <c r="O171" i="7" s="1"/>
  <c r="N170" i="7"/>
  <c r="O170" i="7" s="1"/>
  <c r="N169" i="7"/>
  <c r="O169" i="7" s="1"/>
  <c r="N168" i="7"/>
  <c r="O168" i="7" s="1"/>
  <c r="N167" i="7"/>
  <c r="O167" i="7" s="1"/>
  <c r="N166" i="7"/>
  <c r="O166" i="7" s="1"/>
  <c r="N165" i="7"/>
  <c r="O165" i="7" s="1"/>
  <c r="N164" i="7"/>
  <c r="O164" i="7" s="1"/>
  <c r="N163" i="7"/>
  <c r="O163" i="7" s="1"/>
  <c r="N162" i="7"/>
  <c r="O162" i="7" s="1"/>
  <c r="N161" i="7"/>
  <c r="O161" i="7" s="1"/>
  <c r="N160" i="7"/>
  <c r="O160" i="7" s="1"/>
  <c r="N159" i="7"/>
  <c r="O159" i="7" s="1"/>
  <c r="N158" i="7"/>
  <c r="O158" i="7" s="1"/>
  <c r="N157" i="7"/>
  <c r="O157" i="7" s="1"/>
  <c r="N156" i="7"/>
  <c r="O156" i="7" s="1"/>
  <c r="N155" i="7"/>
  <c r="O155" i="7" s="1"/>
  <c r="N154" i="7"/>
  <c r="O154" i="7" s="1"/>
  <c r="N153" i="7"/>
  <c r="O153" i="7" s="1"/>
  <c r="N152" i="7"/>
  <c r="O152" i="7" s="1"/>
  <c r="N151" i="7"/>
  <c r="O151" i="7" s="1"/>
  <c r="N150" i="7"/>
  <c r="O150" i="7" s="1"/>
  <c r="N149" i="7"/>
  <c r="O149" i="7" s="1"/>
  <c r="N148" i="7"/>
  <c r="O148" i="7" s="1"/>
  <c r="N147" i="7"/>
  <c r="O147" i="7" s="1"/>
  <c r="N146" i="7"/>
  <c r="O146" i="7" s="1"/>
  <c r="N145" i="7"/>
  <c r="O145" i="7" s="1"/>
  <c r="N144" i="7"/>
  <c r="O144" i="7" s="1"/>
  <c r="N143" i="7"/>
  <c r="O143" i="7" s="1"/>
  <c r="N142" i="7"/>
  <c r="O142" i="7" s="1"/>
  <c r="N141" i="7"/>
  <c r="O141" i="7" s="1"/>
  <c r="N140" i="7"/>
  <c r="O140" i="7" s="1"/>
  <c r="N139" i="7"/>
  <c r="O139" i="7" s="1"/>
  <c r="N138" i="7"/>
  <c r="O138" i="7" s="1"/>
  <c r="N137" i="7"/>
  <c r="O137" i="7" s="1"/>
  <c r="N136" i="7"/>
  <c r="O136" i="7" s="1"/>
  <c r="N135" i="7"/>
  <c r="O135" i="7" s="1"/>
  <c r="N134" i="7"/>
  <c r="O134" i="7" s="1"/>
  <c r="N133" i="7"/>
  <c r="O133" i="7" s="1"/>
  <c r="N132" i="7"/>
  <c r="O132" i="7" s="1"/>
  <c r="N131" i="7"/>
  <c r="O131" i="7" s="1"/>
  <c r="N130" i="7"/>
  <c r="O130" i="7" s="1"/>
  <c r="N129" i="7"/>
  <c r="O129" i="7" s="1"/>
  <c r="N128" i="7"/>
  <c r="O128" i="7" s="1"/>
  <c r="N127" i="7"/>
  <c r="O127" i="7" s="1"/>
  <c r="N126" i="7"/>
  <c r="O126" i="7" s="1"/>
  <c r="N125" i="7"/>
  <c r="O125" i="7" s="1"/>
  <c r="N124" i="7"/>
  <c r="O124" i="7" s="1"/>
  <c r="N123" i="7"/>
  <c r="O123" i="7" s="1"/>
  <c r="N122" i="7"/>
  <c r="O122" i="7" s="1"/>
  <c r="N121" i="7"/>
  <c r="O121" i="7" s="1"/>
  <c r="N120" i="7"/>
  <c r="O120" i="7" s="1"/>
  <c r="N119" i="7"/>
  <c r="O119" i="7" s="1"/>
  <c r="N118" i="7"/>
  <c r="O118" i="7" s="1"/>
  <c r="N117" i="7"/>
  <c r="O117" i="7" s="1"/>
  <c r="N116" i="7"/>
  <c r="O116" i="7" s="1"/>
  <c r="N115" i="7"/>
  <c r="O115" i="7" s="1"/>
  <c r="N114" i="7"/>
  <c r="O114" i="7" s="1"/>
  <c r="N113" i="7"/>
  <c r="O113" i="7" s="1"/>
  <c r="N112" i="7"/>
  <c r="O112" i="7" s="1"/>
  <c r="N111" i="7"/>
  <c r="O111" i="7" s="1"/>
  <c r="N110" i="7"/>
  <c r="O110" i="7" s="1"/>
  <c r="N109" i="7"/>
  <c r="O109" i="7" s="1"/>
  <c r="N108" i="7"/>
  <c r="O108" i="7" s="1"/>
  <c r="N107" i="7"/>
  <c r="O107" i="7" s="1"/>
  <c r="N106" i="7"/>
  <c r="O106" i="7" s="1"/>
  <c r="N105" i="7"/>
  <c r="O105" i="7" s="1"/>
  <c r="N104" i="7"/>
  <c r="O104" i="7" s="1"/>
  <c r="N103" i="7"/>
  <c r="O103" i="7" s="1"/>
  <c r="N102" i="7"/>
  <c r="O102" i="7" s="1"/>
  <c r="N101" i="7"/>
  <c r="O101" i="7" s="1"/>
  <c r="N100" i="7"/>
  <c r="O100" i="7" s="1"/>
  <c r="N99" i="7"/>
  <c r="O99" i="7" s="1"/>
  <c r="N98" i="7"/>
  <c r="O98" i="7" s="1"/>
  <c r="N97" i="7"/>
  <c r="O97" i="7" s="1"/>
  <c r="N96" i="7"/>
  <c r="O96" i="7" s="1"/>
  <c r="N95" i="7"/>
  <c r="O95" i="7" s="1"/>
  <c r="N94" i="7"/>
  <c r="O94" i="7" s="1"/>
  <c r="N93" i="7"/>
  <c r="O93" i="7" s="1"/>
  <c r="N92" i="7"/>
  <c r="O92" i="7" s="1"/>
  <c r="N91" i="7"/>
  <c r="O91" i="7" s="1"/>
  <c r="N90" i="7"/>
  <c r="O90" i="7" s="1"/>
  <c r="N89" i="7"/>
  <c r="O89" i="7" s="1"/>
  <c r="N88" i="7"/>
  <c r="O88" i="7" s="1"/>
  <c r="N87" i="7"/>
  <c r="O87" i="7" s="1"/>
  <c r="N86" i="7"/>
  <c r="O86" i="7" s="1"/>
  <c r="N85" i="7"/>
  <c r="O85" i="7" s="1"/>
  <c r="N84" i="7"/>
  <c r="O84" i="7" s="1"/>
  <c r="N83" i="7"/>
  <c r="O83" i="7" s="1"/>
  <c r="N82" i="7"/>
  <c r="O82" i="7" s="1"/>
  <c r="N81" i="7"/>
  <c r="O81" i="7" s="1"/>
  <c r="N80" i="7"/>
  <c r="O80" i="7" s="1"/>
  <c r="N79" i="7"/>
  <c r="O79" i="7" s="1"/>
  <c r="N78" i="7"/>
  <c r="O78" i="7" s="1"/>
  <c r="N77" i="7"/>
  <c r="O77" i="7" s="1"/>
  <c r="N76" i="7"/>
  <c r="O76" i="7" s="1"/>
  <c r="N75" i="7"/>
  <c r="O75" i="7" s="1"/>
  <c r="N74" i="7"/>
  <c r="O74" i="7" s="1"/>
  <c r="N73" i="7"/>
  <c r="O73" i="7" s="1"/>
  <c r="N72" i="7"/>
  <c r="O72" i="7" s="1"/>
  <c r="N71" i="7"/>
  <c r="O71" i="7" s="1"/>
  <c r="N70" i="7"/>
  <c r="O70" i="7" s="1"/>
  <c r="N69" i="7"/>
  <c r="O69" i="7" s="1"/>
  <c r="N68" i="7"/>
  <c r="O68" i="7" s="1"/>
  <c r="N67" i="7"/>
  <c r="O67" i="7" s="1"/>
  <c r="N66" i="7"/>
  <c r="O66" i="7" s="1"/>
  <c r="N65" i="7"/>
  <c r="O65" i="7" s="1"/>
  <c r="N64" i="7"/>
  <c r="O64" i="7" s="1"/>
  <c r="N63" i="7"/>
  <c r="O63" i="7" s="1"/>
  <c r="N62" i="7"/>
  <c r="O62" i="7" s="1"/>
  <c r="N61" i="7"/>
  <c r="O61" i="7" s="1"/>
  <c r="N60" i="7"/>
  <c r="O60" i="7" s="1"/>
  <c r="N59" i="7"/>
  <c r="O59" i="7" s="1"/>
  <c r="N58" i="7"/>
  <c r="O58" i="7" s="1"/>
  <c r="N57" i="7"/>
  <c r="O57" i="7" s="1"/>
  <c r="N56" i="7"/>
  <c r="O56" i="7" s="1"/>
  <c r="N55" i="7"/>
  <c r="O55" i="7" s="1"/>
  <c r="N54" i="7"/>
  <c r="O54" i="7" s="1"/>
  <c r="N53" i="7"/>
  <c r="O53" i="7" s="1"/>
  <c r="N52" i="7"/>
  <c r="O52" i="7" s="1"/>
  <c r="N51" i="7"/>
  <c r="O51" i="7" s="1"/>
  <c r="N50" i="7"/>
  <c r="O50" i="7" s="1"/>
  <c r="N49" i="7"/>
  <c r="O49" i="7" s="1"/>
  <c r="N48" i="7"/>
  <c r="O48" i="7" s="1"/>
  <c r="N47" i="7"/>
  <c r="O47" i="7" s="1"/>
  <c r="N46" i="7"/>
  <c r="O46" i="7" s="1"/>
  <c r="N45" i="7"/>
  <c r="O45" i="7" s="1"/>
  <c r="N44" i="7"/>
  <c r="O44" i="7" s="1"/>
  <c r="N43" i="7"/>
  <c r="O43" i="7" s="1"/>
  <c r="N42" i="7"/>
  <c r="O42" i="7" s="1"/>
  <c r="N41" i="7"/>
  <c r="O41" i="7" s="1"/>
  <c r="N40" i="7"/>
  <c r="O40" i="7" s="1"/>
  <c r="N39" i="7"/>
  <c r="O39" i="7" s="1"/>
  <c r="N38" i="7"/>
  <c r="O38" i="7" s="1"/>
  <c r="N37" i="7"/>
  <c r="O37" i="7" s="1"/>
  <c r="N36" i="7"/>
  <c r="O36" i="7" s="1"/>
  <c r="N35" i="7"/>
  <c r="O35" i="7" s="1"/>
  <c r="N34" i="7"/>
  <c r="O34" i="7" s="1"/>
  <c r="N33" i="7"/>
  <c r="O33" i="7" s="1"/>
  <c r="N32" i="7"/>
  <c r="O32" i="7" s="1"/>
  <c r="N31" i="7"/>
  <c r="O31" i="7" s="1"/>
  <c r="N30" i="7"/>
  <c r="O30" i="7" s="1"/>
  <c r="N29" i="7"/>
  <c r="O29" i="7" s="1"/>
  <c r="N28" i="7"/>
  <c r="O28" i="7" s="1"/>
  <c r="N27" i="7"/>
  <c r="O27" i="7" s="1"/>
  <c r="N26" i="7"/>
  <c r="O26" i="7" s="1"/>
  <c r="N25" i="7"/>
  <c r="O25" i="7" s="1"/>
  <c r="N24" i="7"/>
  <c r="O24" i="7" s="1"/>
  <c r="N23" i="7"/>
  <c r="O23" i="7" s="1"/>
  <c r="N22" i="7"/>
  <c r="O22" i="7" s="1"/>
  <c r="N21" i="7"/>
  <c r="O21" i="7" s="1"/>
  <c r="N20" i="7"/>
  <c r="O20" i="7" s="1"/>
  <c r="N19" i="7"/>
  <c r="O19" i="7" s="1"/>
  <c r="N18" i="7"/>
  <c r="O18" i="7" s="1"/>
  <c r="N17" i="7"/>
  <c r="O17" i="7" s="1"/>
  <c r="N16" i="7"/>
  <c r="O16" i="7" s="1"/>
  <c r="N15" i="7"/>
  <c r="O15" i="7" s="1"/>
  <c r="N14" i="7"/>
  <c r="O14" i="7" s="1"/>
  <c r="N13" i="7"/>
  <c r="O13" i="7" s="1"/>
  <c r="N12" i="7"/>
  <c r="O12" i="7" s="1"/>
  <c r="N11" i="7"/>
  <c r="O11" i="7" s="1"/>
  <c r="N10" i="7"/>
  <c r="O10" i="7" s="1"/>
  <c r="N9" i="7"/>
  <c r="O9" i="7" s="1"/>
  <c r="N8" i="7"/>
  <c r="O8" i="7" s="1"/>
  <c r="N7" i="7"/>
  <c r="O7" i="7" s="1"/>
  <c r="N6" i="7"/>
  <c r="O6" i="7" s="1"/>
  <c r="N5" i="7"/>
  <c r="O5" i="7" s="1"/>
  <c r="N4" i="7"/>
  <c r="B226" i="7"/>
  <c r="B225" i="7"/>
  <c r="N3" i="7"/>
  <c r="B224" i="7"/>
  <c r="L4" i="7"/>
  <c r="L5" i="7" s="1"/>
  <c r="L6" i="7" s="1"/>
  <c r="L7" i="7" s="1"/>
  <c r="L8" i="7" s="1"/>
  <c r="L9" i="7" s="1"/>
  <c r="L10" i="7" s="1"/>
  <c r="L11" i="7" s="1"/>
  <c r="L12" i="7" s="1"/>
  <c r="L13" i="7" s="1"/>
  <c r="L14" i="7" s="1"/>
  <c r="L15" i="7" s="1"/>
  <c r="L16" i="7" s="1"/>
  <c r="L17" i="7" s="1"/>
  <c r="L18" i="7" s="1"/>
  <c r="L19" i="7" s="1"/>
  <c r="L20" i="7" s="1"/>
  <c r="L21" i="7" s="1"/>
  <c r="L22" i="7" s="1"/>
  <c r="L23" i="7" s="1"/>
  <c r="L24" i="7" s="1"/>
  <c r="L25" i="7" s="1"/>
  <c r="L26" i="7" s="1"/>
  <c r="L27" i="7" s="1"/>
  <c r="L28" i="7" s="1"/>
  <c r="L29" i="7" s="1"/>
  <c r="L30" i="7" s="1"/>
  <c r="L31" i="7" s="1"/>
  <c r="L32" i="7" s="1"/>
  <c r="L33" i="7" s="1"/>
  <c r="L34" i="7" s="1"/>
  <c r="L35" i="7" s="1"/>
  <c r="L36" i="7" s="1"/>
  <c r="L37" i="7" s="1"/>
  <c r="L38" i="7" s="1"/>
  <c r="L39" i="7" s="1"/>
  <c r="L40" i="7" s="1"/>
  <c r="L41" i="7" s="1"/>
  <c r="L42" i="7" s="1"/>
  <c r="L43" i="7" s="1"/>
  <c r="L44" i="7" s="1"/>
  <c r="L45" i="7" s="1"/>
  <c r="L46" i="7" s="1"/>
  <c r="L47" i="7" s="1"/>
  <c r="L48" i="7" s="1"/>
  <c r="L49" i="7" s="1"/>
  <c r="L50" i="7" s="1"/>
  <c r="L51" i="7" s="1"/>
  <c r="L52" i="7" s="1"/>
  <c r="L53" i="7" s="1"/>
  <c r="L54" i="7" s="1"/>
  <c r="L55" i="7" s="1"/>
  <c r="L56" i="7" s="1"/>
  <c r="L57" i="7" s="1"/>
  <c r="L58" i="7" s="1"/>
  <c r="L59" i="7" s="1"/>
  <c r="L60" i="7" s="1"/>
  <c r="L61" i="7" s="1"/>
  <c r="L62" i="7" s="1"/>
  <c r="L63" i="7" s="1"/>
  <c r="L64" i="7" s="1"/>
  <c r="L65" i="7" s="1"/>
  <c r="L66" i="7" s="1"/>
  <c r="L67" i="7" s="1"/>
  <c r="L68" i="7" s="1"/>
  <c r="L69" i="7" s="1"/>
  <c r="L70" i="7" s="1"/>
  <c r="L71" i="7" s="1"/>
  <c r="L72" i="7" s="1"/>
  <c r="L73" i="7" s="1"/>
  <c r="L74" i="7" s="1"/>
  <c r="L75" i="7" s="1"/>
  <c r="L76" i="7" s="1"/>
  <c r="L77" i="7" s="1"/>
  <c r="L78" i="7" s="1"/>
  <c r="L79" i="7" s="1"/>
  <c r="L80" i="7" s="1"/>
  <c r="L81" i="7" s="1"/>
  <c r="L82" i="7" s="1"/>
  <c r="L83" i="7" s="1"/>
  <c r="L84" i="7" s="1"/>
  <c r="L85" i="7" s="1"/>
  <c r="L86" i="7" s="1"/>
  <c r="L87" i="7" s="1"/>
  <c r="L88" i="7" s="1"/>
  <c r="L89" i="7" s="1"/>
  <c r="L90" i="7" s="1"/>
  <c r="L91" i="7" s="1"/>
  <c r="L92" i="7" s="1"/>
  <c r="L93" i="7" s="1"/>
  <c r="L94" i="7" s="1"/>
  <c r="L95" i="7" s="1"/>
  <c r="L96" i="7" s="1"/>
  <c r="L97" i="7" s="1"/>
  <c r="L98" i="7" s="1"/>
  <c r="L99" i="7" s="1"/>
  <c r="L100" i="7" s="1"/>
  <c r="L101" i="7" s="1"/>
  <c r="L102" i="7" s="1"/>
  <c r="L103" i="7" s="1"/>
  <c r="L104" i="7" s="1"/>
  <c r="L105" i="7" s="1"/>
  <c r="L106" i="7" s="1"/>
  <c r="L107" i="7" s="1"/>
  <c r="L108" i="7" s="1"/>
  <c r="L109" i="7" s="1"/>
  <c r="L110" i="7" s="1"/>
  <c r="L111" i="7" s="1"/>
  <c r="L112" i="7" s="1"/>
  <c r="L113" i="7" s="1"/>
  <c r="L114" i="7" s="1"/>
  <c r="L115" i="7" s="1"/>
  <c r="L116" i="7" s="1"/>
  <c r="L117" i="7" s="1"/>
  <c r="L118" i="7" s="1"/>
  <c r="L119" i="7" s="1"/>
  <c r="L120" i="7" s="1"/>
  <c r="L121" i="7" s="1"/>
  <c r="L122" i="7" s="1"/>
  <c r="L123" i="7" s="1"/>
  <c r="L124" i="7" s="1"/>
  <c r="L125" i="7" s="1"/>
  <c r="L126" i="7" s="1"/>
  <c r="L127" i="7" s="1"/>
  <c r="L128" i="7" s="1"/>
  <c r="L129" i="7" s="1"/>
  <c r="L130" i="7" s="1"/>
  <c r="L131" i="7" s="1"/>
  <c r="L132" i="7" s="1"/>
  <c r="L133" i="7" s="1"/>
  <c r="L134" i="7" s="1"/>
  <c r="L135" i="7" s="1"/>
  <c r="L136" i="7" s="1"/>
  <c r="L137" i="7" s="1"/>
  <c r="L138" i="7" s="1"/>
  <c r="L139" i="7" s="1"/>
  <c r="L140" i="7" s="1"/>
  <c r="L141" i="7" s="1"/>
  <c r="L142" i="7" s="1"/>
  <c r="L143" i="7" s="1"/>
  <c r="L144" i="7" s="1"/>
  <c r="L145" i="7" s="1"/>
  <c r="L146" i="7" s="1"/>
  <c r="L147" i="7" s="1"/>
  <c r="L148" i="7" s="1"/>
  <c r="L149" i="7" s="1"/>
  <c r="L150" i="7" s="1"/>
  <c r="L151" i="7" s="1"/>
  <c r="L152" i="7" s="1"/>
  <c r="L153" i="7" s="1"/>
  <c r="L154" i="7" s="1"/>
  <c r="L155" i="7" s="1"/>
  <c r="L156" i="7" s="1"/>
  <c r="L157" i="7" s="1"/>
  <c r="L158" i="7" s="1"/>
  <c r="L159" i="7" s="1"/>
  <c r="L160" i="7" s="1"/>
  <c r="L161" i="7" s="1"/>
  <c r="L162" i="7" s="1"/>
  <c r="L163" i="7" s="1"/>
  <c r="L164" i="7" s="1"/>
  <c r="L165" i="7" s="1"/>
  <c r="L166" i="7" s="1"/>
  <c r="L167" i="7" s="1"/>
  <c r="L168" i="7" s="1"/>
  <c r="L169" i="7" s="1"/>
  <c r="L170" i="7" s="1"/>
  <c r="M159" i="7"/>
  <c r="M160" i="7"/>
  <c r="M161" i="7"/>
  <c r="M162" i="7"/>
  <c r="M163" i="7"/>
  <c r="M164" i="7"/>
  <c r="M165" i="7"/>
  <c r="M166" i="7"/>
  <c r="M167" i="7"/>
  <c r="M168" i="7"/>
  <c r="M169" i="7"/>
  <c r="M170" i="7"/>
  <c r="B223" i="7"/>
  <c r="B221" i="7"/>
  <c r="B222" i="7"/>
  <c r="M154" i="7"/>
  <c r="M155" i="7"/>
  <c r="M156" i="7"/>
  <c r="M157" i="7"/>
  <c r="M158" i="7"/>
  <c r="M147" i="7"/>
  <c r="M148" i="7"/>
  <c r="M149" i="7"/>
  <c r="M150" i="7"/>
  <c r="M151" i="7"/>
  <c r="M152" i="7"/>
  <c r="M153" i="7"/>
  <c r="B212" i="7"/>
  <c r="B213" i="7"/>
  <c r="B214" i="7"/>
  <c r="B215" i="7"/>
  <c r="B216" i="7"/>
  <c r="B217" i="7"/>
  <c r="B218" i="7"/>
  <c r="B219" i="7"/>
  <c r="B220" i="7"/>
  <c r="J202" i="7"/>
  <c r="O3" i="7" l="1"/>
  <c r="N195" i="7"/>
  <c r="B231" i="7"/>
  <c r="J203" i="7"/>
  <c r="J196" i="7"/>
  <c r="J200" i="7"/>
  <c r="J204" i="7"/>
  <c r="J197" i="7"/>
  <c r="J201" i="7"/>
  <c r="J198" i="7"/>
  <c r="J206" i="7"/>
  <c r="J199" i="7"/>
  <c r="J195" i="7"/>
  <c r="J223" i="7"/>
  <c r="J222" i="7"/>
  <c r="N222" i="7" s="1"/>
  <c r="O222" i="7" s="1"/>
  <c r="J224" i="7"/>
  <c r="J225" i="7"/>
  <c r="J220" i="7"/>
  <c r="J226" i="7"/>
  <c r="J214" i="7"/>
  <c r="J218" i="7"/>
  <c r="J221" i="7"/>
  <c r="J219" i="7"/>
  <c r="J215" i="7"/>
  <c r="J217" i="7"/>
  <c r="J213" i="7"/>
  <c r="J212" i="7"/>
  <c r="O4" i="7"/>
  <c r="J216" i="7"/>
  <c r="O195" i="7" l="1"/>
  <c r="J205" i="7"/>
  <c r="Q33" i="7"/>
  <c r="J208" i="7"/>
  <c r="N223" i="7"/>
  <c r="O223" i="7" s="1"/>
  <c r="J228" i="7"/>
  <c r="N228" i="7" s="1"/>
  <c r="N224" i="7"/>
  <c r="O224" i="7" s="1"/>
  <c r="N226" i="7"/>
  <c r="O226" i="7" s="1"/>
  <c r="J227" i="7"/>
  <c r="N227" i="7" s="1"/>
  <c r="O227" i="7" s="1"/>
  <c r="N220" i="7"/>
  <c r="O220" i="7" s="1"/>
  <c r="N225" i="7"/>
  <c r="O225" i="7" s="1"/>
  <c r="N219" i="7"/>
  <c r="O219" i="7" s="1"/>
  <c r="N218" i="7"/>
  <c r="O218" i="7" s="1"/>
  <c r="N221" i="7"/>
  <c r="O221" i="7" s="1"/>
  <c r="N214" i="7"/>
  <c r="O214" i="7" s="1"/>
  <c r="N216" i="7"/>
  <c r="O216" i="7" s="1"/>
  <c r="N217" i="7"/>
  <c r="O217" i="7" s="1"/>
  <c r="N212" i="7"/>
  <c r="O212" i="7" s="1"/>
  <c r="N213" i="7"/>
  <c r="O213" i="7" s="1"/>
  <c r="N215" i="7"/>
  <c r="O215" i="7" s="1"/>
  <c r="J231" i="7" l="1"/>
  <c r="N231" i="7" s="1"/>
  <c r="J233" i="7"/>
  <c r="N233" i="7" s="1"/>
</calcChain>
</file>

<file path=xl/sharedStrings.xml><?xml version="1.0" encoding="utf-8"?>
<sst xmlns="http://schemas.openxmlformats.org/spreadsheetml/2006/main" count="58" uniqueCount="49">
  <si>
    <t>Purchased</t>
  </si>
  <si>
    <t>Heating Degree Days</t>
  </si>
  <si>
    <t>Cooling Degree Days</t>
  </si>
  <si>
    <t>Number of Days in Month</t>
  </si>
  <si>
    <t>Number of Peak Hours</t>
  </si>
  <si>
    <t>Ontario Real GDP Monthly %</t>
  </si>
  <si>
    <t>Total</t>
  </si>
  <si>
    <t xml:space="preserve">Predicted Purchases </t>
  </si>
  <si>
    <t>Variances (kWh)</t>
  </si>
  <si>
    <t>Spring Fall Flag</t>
  </si>
  <si>
    <t>Population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</si>
  <si>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</si>
  <si>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</si>
  <si>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</si>
  <si>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</si>
  <si>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</si>
  <si>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</si>
  <si>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</si>
  <si>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</si>
  <si>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</si>
  <si>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</si>
  <si>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</si>
  <si>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</si>
  <si>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</si>
  <si>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</si>
  <si>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</si>
  <si>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</si>
  <si>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</si>
  <si>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</si>
  <si>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</si>
  <si>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</si>
  <si>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Check totals above should be zero</t>
  </si>
  <si>
    <t>Value</t>
  </si>
  <si>
    <t>F Test</t>
  </si>
  <si>
    <t>T-stats by Coefficient</t>
  </si>
  <si>
    <t>Intercept</t>
  </si>
  <si>
    <t>Total to 2015</t>
  </si>
  <si>
    <t>2014/2015 Forecast Summary:</t>
  </si>
  <si>
    <t>North Bay  Economy</t>
  </si>
  <si>
    <t>% Variance - Absolute</t>
  </si>
  <si>
    <t>MAPE</t>
  </si>
  <si>
    <t xml:space="preserve">MAPE (Monthly) </t>
  </si>
  <si>
    <t>Constant</t>
  </si>
  <si>
    <t xml:space="preserve">Northeastern Employment </t>
  </si>
  <si>
    <t>Lower 95.0%</t>
  </si>
  <si>
    <t>Upper 95.0%</t>
  </si>
  <si>
    <t>Regression Analysis Results</t>
  </si>
  <si>
    <t>Coefficient</t>
  </si>
  <si>
    <t>Northeastern Unemployment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</si>
</sst>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.0"/>
    <numFmt numFmtId="166" formatCode="#,##0;\(#,##0\)"/>
    <numFmt numFmtId="167" formatCode="_(* #,##0.0_);_(* \(#,##0.0\);_(* &quot;-&quot;??_);_(@_)"/>
    <numFmt numFmtId="168" formatCode="_(* #,##0_);_(* \(#,##0\);_(* &quot;-&quot;??_);_(@_)"/>
    <numFmt numFmtId="169" formatCode="#,##0.0"/>
    <numFmt numFmtId="170" formatCode="#,##0.0;\(#,##0.0\)"/>
    <numFmt numFmtId="171" formatCode="&quot;£ &quot;#,##0.00;[Red]\-&quot;£ &quot;#,##0.00"/>
    <numFmt numFmtId="172" formatCode="##\-#"/>
    <numFmt numFmtId="173" formatCode="mm/dd/yyyy"/>
    <numFmt numFmtId="174" formatCode="0\-0"/>
    <numFmt numFmtId="175" formatCode="#,##0.0;\-#,##0.0"/>
  </numFmts>
  <fonts count="5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4">
    <xf numFmtId="0" fontId="0" fillId="0" borderId="0"/>
    <xf numFmtId="167" fontId="2" fillId="0" borderId="0"/>
    <xf numFmtId="169" fontId="2" fillId="0" borderId="0"/>
    <xf numFmtId="173" fontId="2" fillId="0" borderId="0"/>
    <xf numFmtId="174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14" fillId="4" borderId="0" applyNumberFormat="0" applyBorder="0" applyAlignment="0" applyProtection="0"/>
    <xf numFmtId="38" fontId="30" fillId="22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" applyNumberFormat="0" applyAlignment="0" applyProtection="0"/>
    <xf numFmtId="10" fontId="30" fillId="23" borderId="6" applyNumberFormat="0" applyBorder="0" applyAlignment="0" applyProtection="0"/>
    <xf numFmtId="0" fontId="19" fillId="0" borderId="7" applyNumberFormat="0" applyFill="0" applyAlignment="0" applyProtection="0"/>
    <xf numFmtId="172" fontId="2" fillId="0" borderId="0"/>
    <xf numFmtId="168" fontId="2" fillId="0" borderId="0"/>
    <xf numFmtId="0" fontId="20" fillId="24" borderId="0" applyNumberFormat="0" applyBorder="0" applyAlignment="0" applyProtection="0"/>
    <xf numFmtId="171" fontId="2" fillId="0" borderId="0"/>
    <xf numFmtId="0" fontId="2" fillId="0" borderId="0"/>
    <xf numFmtId="0" fontId="21" fillId="0" borderId="0"/>
    <xf numFmtId="0" fontId="2" fillId="25" borderId="8" applyNumberFormat="0" applyFont="0" applyAlignment="0" applyProtection="0"/>
    <xf numFmtId="0" fontId="22" fillId="20" borderId="9" applyNumberFormat="0" applyAlignment="0" applyProtection="0"/>
    <xf numFmtId="10" fontId="2" fillId="0" borderId="0" applyFont="0" applyFill="0" applyBorder="0" applyAlignment="0" applyProtection="0"/>
    <xf numFmtId="0" fontId="23" fillId="0" borderId="0" applyNumberFormat="0" applyBorder="0" applyAlignment="0"/>
    <xf numFmtId="0" fontId="34" fillId="0" borderId="0" applyNumberFormat="0" applyBorder="0" applyAlignment="0"/>
    <xf numFmtId="0" fontId="35" fillId="0" borderId="0" applyNumberFormat="0" applyBorder="0" applyAlignment="0"/>
    <xf numFmtId="0" fontId="24" fillId="0" borderId="10">
      <alignment horizontal="center" vertical="center"/>
    </xf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7" fillId="0" borderId="16" applyNumberFormat="0" applyFill="0" applyAlignment="0" applyProtection="0"/>
    <xf numFmtId="0" fontId="1" fillId="0" borderId="0"/>
    <xf numFmtId="0" fontId="39" fillId="0" borderId="18" applyNumberFormat="0" applyFill="0" applyAlignment="0" applyProtection="0"/>
    <xf numFmtId="0" fontId="39" fillId="0" borderId="0" applyNumberFormat="0" applyFill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2" fillId="29" borderId="0" applyNumberFormat="0" applyBorder="0" applyAlignment="0" applyProtection="0"/>
    <xf numFmtId="0" fontId="43" fillId="30" borderId="19" applyNumberFormat="0" applyAlignment="0" applyProtection="0"/>
    <xf numFmtId="0" fontId="44" fillId="31" borderId="20" applyNumberFormat="0" applyAlignment="0" applyProtection="0"/>
    <xf numFmtId="0" fontId="45" fillId="31" borderId="19" applyNumberFormat="0" applyAlignment="0" applyProtection="0"/>
    <xf numFmtId="0" fontId="46" fillId="0" borderId="21" applyNumberFormat="0" applyFill="0" applyAlignment="0" applyProtection="0"/>
    <xf numFmtId="0" fontId="47" fillId="32" borderId="22" applyNumberFormat="0" applyAlignment="0" applyProtection="0"/>
    <xf numFmtId="0" fontId="48" fillId="0" borderId="0" applyNumberFormat="0" applyFill="0" applyBorder="0" applyAlignment="0" applyProtection="0"/>
    <xf numFmtId="0" fontId="1" fillId="33" borderId="23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24" applyNumberFormat="0" applyFill="0" applyAlignment="0" applyProtection="0"/>
    <xf numFmtId="0" fontId="5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51" fillId="37" borderId="0" applyNumberFormat="0" applyBorder="0" applyAlignment="0" applyProtection="0"/>
    <xf numFmtId="0" fontId="5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1" fillId="41" borderId="0" applyNumberFormat="0" applyBorder="0" applyAlignment="0" applyProtection="0"/>
    <xf numFmtId="0" fontId="5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1" fillId="45" borderId="0" applyNumberFormat="0" applyBorder="0" applyAlignment="0" applyProtection="0"/>
    <xf numFmtId="0" fontId="5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1" fillId="49" borderId="0" applyNumberFormat="0" applyBorder="0" applyAlignment="0" applyProtection="0"/>
    <xf numFmtId="0" fontId="5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1" fillId="53" borderId="0" applyNumberFormat="0" applyBorder="0" applyAlignment="0" applyProtection="0"/>
    <xf numFmtId="0" fontId="51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1" fillId="57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73" fontId="2" fillId="0" borderId="0"/>
    <xf numFmtId="38" fontId="28" fillId="22" borderId="0" applyNumberFormat="0" applyBorder="0" applyAlignment="0" applyProtection="0"/>
    <xf numFmtId="10" fontId="28" fillId="23" borderId="6" applyNumberFormat="0" applyBorder="0" applyAlignment="0" applyProtection="0"/>
    <xf numFmtId="172" fontId="2" fillId="0" borderId="0"/>
    <xf numFmtId="172" fontId="2" fillId="0" borderId="0"/>
    <xf numFmtId="172" fontId="2" fillId="0" borderId="0"/>
    <xf numFmtId="172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8">
    <xf numFmtId="0" fontId="0" fillId="0" borderId="0" xfId="0"/>
    <xf numFmtId="37" fontId="3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4" fontId="3" fillId="0" borderId="0" xfId="0" applyNumberFormat="1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0" fontId="0" fillId="0" borderId="12" xfId="0" applyFill="1" applyBorder="1" applyAlignment="1"/>
    <xf numFmtId="0" fontId="6" fillId="0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Continuous"/>
    </xf>
    <xf numFmtId="4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"/>
    </xf>
    <xf numFmtId="164" fontId="28" fillId="0" borderId="6" xfId="51" applyNumberFormat="1" applyFont="1" applyFill="1" applyBorder="1" applyAlignment="1">
      <alignment horizontal="center" vertical="center"/>
    </xf>
    <xf numFmtId="165" fontId="28" fillId="0" borderId="6" xfId="51" applyNumberFormat="1" applyFont="1" applyFill="1" applyBorder="1" applyAlignment="1">
      <alignment horizontal="center" vertical="center"/>
    </xf>
    <xf numFmtId="1" fontId="28" fillId="0" borderId="14" xfId="0" applyNumberFormat="1" applyFont="1" applyFill="1" applyBorder="1" applyAlignment="1">
      <alignment horizontal="left" vertical="center" indent="1"/>
    </xf>
    <xf numFmtId="0" fontId="4" fillId="0" borderId="0" xfId="0" applyFont="1" applyFill="1" applyAlignment="1">
      <alignment horizontal="center" wrapText="1"/>
    </xf>
    <xf numFmtId="4" fontId="4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168" fontId="0" fillId="0" borderId="0" xfId="32" applyNumberFormat="1" applyFon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Alignment="1">
      <alignment horizontal="center"/>
    </xf>
    <xf numFmtId="37" fontId="0" fillId="0" borderId="0" xfId="0" applyNumberFormat="1" applyFill="1"/>
    <xf numFmtId="0" fontId="0" fillId="0" borderId="0" xfId="0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166" fontId="2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2" fillId="0" borderId="0" xfId="0" quotePrefix="1" applyFont="1" applyFill="1" applyAlignment="1">
      <alignment horizontal="center"/>
    </xf>
    <xf numFmtId="0" fontId="31" fillId="0" borderId="0" xfId="0" applyFont="1" applyFill="1" applyAlignment="1">
      <alignment horizontal="center" wrapText="1"/>
    </xf>
    <xf numFmtId="37" fontId="32" fillId="0" borderId="0" xfId="0" applyNumberFormat="1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17" fontId="7" fillId="0" borderId="0" xfId="0" applyNumberFormat="1" applyFont="1" applyFill="1" applyBorder="1"/>
    <xf numFmtId="3" fontId="5" fillId="26" borderId="15" xfId="0" applyNumberFormat="1" applyFont="1" applyFill="1" applyBorder="1" applyAlignment="1">
      <alignment horizontal="center"/>
    </xf>
    <xf numFmtId="37" fontId="5" fillId="26" borderId="15" xfId="0" applyNumberFormat="1" applyFont="1" applyFill="1" applyBorder="1" applyAlignment="1">
      <alignment horizontal="center"/>
    </xf>
    <xf numFmtId="17" fontId="3" fillId="0" borderId="0" xfId="0" applyNumberFormat="1" applyFont="1" applyFill="1" applyBorder="1"/>
    <xf numFmtId="17" fontId="33" fillId="0" borderId="0" xfId="0" applyNumberFormat="1" applyFont="1" applyFill="1" applyBorder="1"/>
    <xf numFmtId="3" fontId="0" fillId="0" borderId="0" xfId="0" applyNumberFormat="1" applyFill="1"/>
    <xf numFmtId="3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Alignment="1">
      <alignment horizontal="left"/>
    </xf>
    <xf numFmtId="168" fontId="3" fillId="0" borderId="0" xfId="32" applyNumberFormat="1" applyFont="1" applyFill="1"/>
    <xf numFmtId="168" fontId="2" fillId="0" borderId="0" xfId="32" applyNumberFormat="1" applyFont="1" applyFill="1"/>
    <xf numFmtId="3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7" fontId="0" fillId="0" borderId="0" xfId="0" applyNumberFormat="1" applyFill="1" applyBorder="1"/>
    <xf numFmtId="37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37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29" fillId="58" borderId="6" xfId="52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/>
    </xf>
    <xf numFmtId="0" fontId="29" fillId="58" borderId="14" xfId="52" applyFont="1" applyFill="1" applyBorder="1" applyAlignment="1">
      <alignment horizontal="left" vertical="center"/>
    </xf>
    <xf numFmtId="166" fontId="28" fillId="0" borderId="6" xfId="51" applyNumberFormat="1" applyFont="1" applyFill="1" applyBorder="1" applyAlignment="1">
      <alignment horizontal="center" vertical="center"/>
    </xf>
    <xf numFmtId="170" fontId="28" fillId="0" borderId="6" xfId="51" applyNumberFormat="1" applyFont="1" applyFill="1" applyBorder="1" applyAlignment="1">
      <alignment horizontal="center" vertical="center"/>
    </xf>
    <xf numFmtId="175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</cellXfs>
  <cellStyles count="134">
    <cellStyle name="$" xfId="1"/>
    <cellStyle name="$.00" xfId="2"/>
    <cellStyle name="$_9. Rev2Cost_GDPIPI" xfId="119"/>
    <cellStyle name="$_lists" xfId="120"/>
    <cellStyle name="$_lists_4. Current Monthly Fixed Charge" xfId="121"/>
    <cellStyle name="$_Sheet4" xfId="122"/>
    <cellStyle name="$M" xfId="3"/>
    <cellStyle name="$M.00" xfId="4"/>
    <cellStyle name="$M_9. Rev2Cost_GDPIPI" xfId="123"/>
    <cellStyle name="20% - Accent1" xfId="5" builtinId="30" customBuiltin="1"/>
    <cellStyle name="20% - Accent1 2" xfId="86"/>
    <cellStyle name="20% - Accent2" xfId="6" builtinId="34" customBuiltin="1"/>
    <cellStyle name="20% - Accent2 2" xfId="90"/>
    <cellStyle name="20% - Accent3" xfId="7" builtinId="38" customBuiltin="1"/>
    <cellStyle name="20% - Accent3 2" xfId="94"/>
    <cellStyle name="20% - Accent4" xfId="8" builtinId="42" customBuiltin="1"/>
    <cellStyle name="20% - Accent4 2" xfId="98"/>
    <cellStyle name="20% - Accent5" xfId="9" builtinId="46" customBuiltin="1"/>
    <cellStyle name="20% - Accent5 2" xfId="102"/>
    <cellStyle name="20% - Accent6" xfId="10" builtinId="50" customBuiltin="1"/>
    <cellStyle name="20% - Accent6 2" xfId="106"/>
    <cellStyle name="40% - Accent1" xfId="11" builtinId="31" customBuiltin="1"/>
    <cellStyle name="40% - Accent1 2" xfId="87"/>
    <cellStyle name="40% - Accent2" xfId="12" builtinId="35" customBuiltin="1"/>
    <cellStyle name="40% - Accent2 2" xfId="91"/>
    <cellStyle name="40% - Accent3" xfId="13" builtinId="39" customBuiltin="1"/>
    <cellStyle name="40% - Accent3 2" xfId="95"/>
    <cellStyle name="40% - Accent4" xfId="14" builtinId="43" customBuiltin="1"/>
    <cellStyle name="40% - Accent4 2" xfId="99"/>
    <cellStyle name="40% - Accent5" xfId="15" builtinId="47" customBuiltin="1"/>
    <cellStyle name="40% - Accent5 2" xfId="103"/>
    <cellStyle name="40% - Accent6" xfId="16" builtinId="51" customBuiltin="1"/>
    <cellStyle name="40% - Accent6 2" xfId="107"/>
    <cellStyle name="60% - Accent1" xfId="17" builtinId="32" customBuiltin="1"/>
    <cellStyle name="60% - Accent1 2" xfId="88"/>
    <cellStyle name="60% - Accent2" xfId="18" builtinId="36" customBuiltin="1"/>
    <cellStyle name="60% - Accent2 2" xfId="92"/>
    <cellStyle name="60% - Accent3" xfId="19" builtinId="40" customBuiltin="1"/>
    <cellStyle name="60% - Accent3 2" xfId="96"/>
    <cellStyle name="60% - Accent4" xfId="20" builtinId="44" customBuiltin="1"/>
    <cellStyle name="60% - Accent4 2" xfId="100"/>
    <cellStyle name="60% - Accent5" xfId="21" builtinId="48" customBuiltin="1"/>
    <cellStyle name="60% - Accent5 2" xfId="104"/>
    <cellStyle name="60% - Accent6" xfId="22" builtinId="52" customBuiltin="1"/>
    <cellStyle name="60% - Accent6 2" xfId="108"/>
    <cellStyle name="Accent1" xfId="23" builtinId="29" customBuiltin="1"/>
    <cellStyle name="Accent1 2" xfId="85"/>
    <cellStyle name="Accent2" xfId="24" builtinId="33" customBuiltin="1"/>
    <cellStyle name="Accent2 2" xfId="89"/>
    <cellStyle name="Accent3" xfId="25" builtinId="37" customBuiltin="1"/>
    <cellStyle name="Accent3 2" xfId="93"/>
    <cellStyle name="Accent4" xfId="26" builtinId="41" customBuiltin="1"/>
    <cellStyle name="Accent4 2" xfId="97"/>
    <cellStyle name="Accent5" xfId="27" builtinId="45" customBuiltin="1"/>
    <cellStyle name="Accent5 2" xfId="101"/>
    <cellStyle name="Accent6" xfId="28" builtinId="49" customBuiltin="1"/>
    <cellStyle name="Accent6 2" xfId="105"/>
    <cellStyle name="Bad" xfId="29" builtinId="27" customBuiltin="1"/>
    <cellStyle name="Bad 2" xfId="74"/>
    <cellStyle name="Calculation" xfId="30" builtinId="22" customBuiltin="1"/>
    <cellStyle name="Calculation 2" xfId="78"/>
    <cellStyle name="Check Cell" xfId="31" builtinId="23" customBuiltin="1"/>
    <cellStyle name="Check Cell 2" xfId="80"/>
    <cellStyle name="Comma" xfId="32" builtinId="3"/>
    <cellStyle name="Comma 2" xfId="110"/>
    <cellStyle name="Comma 3" xfId="113"/>
    <cellStyle name="Comma 3 2" xfId="131"/>
    <cellStyle name="Comma 4" xfId="118"/>
    <cellStyle name="Comma 5" xfId="65"/>
    <cellStyle name="Comma0" xfId="33"/>
    <cellStyle name="Currency 2" xfId="117"/>
    <cellStyle name="Currency 3" xfId="133"/>
    <cellStyle name="Currency 4" xfId="66"/>
    <cellStyle name="Currency0" xfId="34"/>
    <cellStyle name="Date" xfId="35"/>
    <cellStyle name="Explanatory Text" xfId="36" builtinId="53" customBuiltin="1"/>
    <cellStyle name="Explanatory Text 2" xfId="83"/>
    <cellStyle name="Fixed" xfId="37"/>
    <cellStyle name="Good" xfId="38" builtinId="26" customBuiltin="1"/>
    <cellStyle name="Good 2" xfId="73"/>
    <cellStyle name="Grey" xfId="39"/>
    <cellStyle name="Grey 2" xfId="124"/>
    <cellStyle name="Heading 1" xfId="40" builtinId="16" customBuiltin="1"/>
    <cellStyle name="Heading 1 2" xfId="69"/>
    <cellStyle name="Heading 2" xfId="41" builtinId="17" customBuiltin="1"/>
    <cellStyle name="Heading 2 2" xfId="68"/>
    <cellStyle name="Heading 3" xfId="42" builtinId="18" customBuiltin="1"/>
    <cellStyle name="Heading 3 2" xfId="71"/>
    <cellStyle name="Heading 4" xfId="43" builtinId="19" customBuiltin="1"/>
    <cellStyle name="Heading 4 2" xfId="72"/>
    <cellStyle name="Input" xfId="44" builtinId="20" customBuiltin="1"/>
    <cellStyle name="Input [yellow]" xfId="45"/>
    <cellStyle name="Input [yellow] 2" xfId="125"/>
    <cellStyle name="Input 2" xfId="76"/>
    <cellStyle name="Linked Cell" xfId="46" builtinId="24" customBuiltin="1"/>
    <cellStyle name="Linked Cell 2" xfId="79"/>
    <cellStyle name="M" xfId="47"/>
    <cellStyle name="M.00" xfId="48"/>
    <cellStyle name="M_9. Rev2Cost_GDPIPI" xfId="126"/>
    <cellStyle name="M_lists" xfId="127"/>
    <cellStyle name="M_lists_4. Current Monthly Fixed Charge" xfId="128"/>
    <cellStyle name="M_Sheet4" xfId="129"/>
    <cellStyle name="Neutral" xfId="49" builtinId="28" customBuiltin="1"/>
    <cellStyle name="Neutral 2" xfId="75"/>
    <cellStyle name="Normal" xfId="0" builtinId="0"/>
    <cellStyle name="Normal - Style1" xfId="50"/>
    <cellStyle name="Normal 2" xfId="63"/>
    <cellStyle name="Normal 3" xfId="70"/>
    <cellStyle name="Normal 4" xfId="109"/>
    <cellStyle name="Normal 5" xfId="112"/>
    <cellStyle name="Normal 5 2" xfId="130"/>
    <cellStyle name="Normal 6" xfId="115"/>
    <cellStyle name="Normal 7" xfId="64"/>
    <cellStyle name="Normal_OEB Trial Balance - Regulatory-July24-07" xfId="51"/>
    <cellStyle name="Normal_Sheet2" xfId="52"/>
    <cellStyle name="Note" xfId="53" builtinId="10" customBuiltin="1"/>
    <cellStyle name="Note 2" xfId="82"/>
    <cellStyle name="Output" xfId="54" builtinId="21" customBuiltin="1"/>
    <cellStyle name="Output 2" xfId="77"/>
    <cellStyle name="Percent [2]" xfId="55"/>
    <cellStyle name="Percent 2" xfId="111"/>
    <cellStyle name="Percent 3" xfId="114"/>
    <cellStyle name="Percent 3 2" xfId="132"/>
    <cellStyle name="Percent 4" xfId="116"/>
    <cellStyle name="STYLE1" xfId="56"/>
    <cellStyle name="STYLE2" xfId="57"/>
    <cellStyle name="STYLE4" xfId="58"/>
    <cellStyle name="Subtotal" xfId="59"/>
    <cellStyle name="Title" xfId="60" builtinId="15" customBuiltin="1"/>
    <cellStyle name="Title 2" xfId="67"/>
    <cellStyle name="Total" xfId="61" builtinId="25" customBuiltin="1"/>
    <cellStyle name="Total 2" xfId="84"/>
    <cellStyle name="Warning Text" xfId="62" builtinId="11" customBuiltin="1"/>
    <cellStyle name="Warning Text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\Richmond%20Hill\Year%20End\RHH96YE_%20MEA%20Statistic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wanner\Local%20Settings\Temporary%20Internet%20Files\OLKC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Tennant\Return%20on%20Equity%20and%20WC\RateMake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mmaw\Local%20Settings\Temporary%20Internet%20Files\OLKBC\Exhibit%203%20Distribution%20Revenue%20Throughputs%20-%20Blank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Orillia\2010%20Rates\2010%20Rate%20File%20-%20July%202,%202009\Documents%20and%20Settings\phurley\Desktop\Lakeland%20Rate%20App\LPDL_2009%20Revenue%20Requirem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Statistics"/>
      <sheetName val="North York Stat"/>
      <sheetName val="MEA Title Pge"/>
      <sheetName val="Old MEA Statistics"/>
    </sheetNames>
    <sheetDataSet>
      <sheetData sheetId="0" refreshError="1"/>
      <sheetData sheetId="1" refreshError="1"/>
      <sheetData sheetId="2" refreshError="1"/>
      <sheetData sheetId="3" refreshError="1">
        <row r="250">
          <cell r="B250" t="str">
            <v xml:space="preserve">   Average for medium size utilities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B1.GrossCapital"/>
      <sheetName val="B2.CapitalAmortization"/>
      <sheetName val="B3.NetCapital"/>
      <sheetName val="B4.OMA"/>
      <sheetName val="B5.DeferralBalances"/>
      <sheetName val="C1.LoadForecast"/>
      <sheetName val="C2.PassthruRates"/>
      <sheetName val="C3.DistRates"/>
      <sheetName val="C4.DistRevenue"/>
      <sheetName val="C5.ApprovedRecovery"/>
      <sheetName val="C6.ProposedRecoveries"/>
      <sheetName val="C7.RateRiders"/>
      <sheetName val="C8.ServiceRevenues"/>
      <sheetName val="C9.RevenueOffsets"/>
      <sheetName val="D1.RateBase"/>
      <sheetName val="D2.Debt"/>
      <sheetName val="D3.CapitalStructure"/>
      <sheetName val="E1.BridgeYrPL"/>
      <sheetName val="E2.TestYrPL"/>
      <sheetName val="E3.CapitalInfo"/>
      <sheetName val="E4.PILsResults"/>
      <sheetName val="F1.RevRequirement"/>
      <sheetName val="F2.DirectRevenues"/>
      <sheetName val="F3.CostAllocation"/>
      <sheetName val="F4.RevenueAllocation"/>
      <sheetName val="F5.RateDesign"/>
      <sheetName val="F6.RatesCheck"/>
      <sheetName val="F7.FinalRates"/>
      <sheetName val="F8.BillImpacts"/>
      <sheetName val="G1.BridgeYrProForma"/>
      <sheetName val="G2.TestYrProForma"/>
      <sheetName val="G3.TestYrNewRates"/>
      <sheetName val="G4.VarBS"/>
      <sheetName val="G5.VarPL"/>
      <sheetName val="G6.VarRateBase"/>
      <sheetName val="G7.VarSuffDef"/>
      <sheetName val="X11.RatesSched"/>
      <sheetName val="X12.PLtrend"/>
      <sheetName val="X13.PLvariances"/>
      <sheetName val="X14.BStrend"/>
      <sheetName val="X15.BSvariances"/>
      <sheetName val="X21.CapitalCont"/>
      <sheetName val="X22.RBtrend"/>
      <sheetName val="X23.RBvariances"/>
      <sheetName val="X71.RevSuffDef"/>
      <sheetName val="X72.RevenueReq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  <sheetName val="Z0.Disclaimer"/>
    </sheetNames>
    <sheetDataSet>
      <sheetData sheetId="0" refreshError="1"/>
      <sheetData sheetId="1" refreshError="1">
        <row r="13">
          <cell r="C13">
            <v>2009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>
        <row r="10">
          <cell r="C10" t="str">
            <v xml:space="preserve">_x000D_
</v>
          </cell>
        </row>
        <row r="12">
          <cell r="C12" t="str">
            <v>2006 EDR Approved</v>
          </cell>
        </row>
        <row r="14">
          <cell r="C14" t="str">
            <v> </v>
          </cell>
        </row>
      </sheetData>
      <sheetData sheetId="59" refreshError="1"/>
      <sheetData sheetId="6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6"/>
      <sheetName val="FA Continuity 2007"/>
      <sheetName val="FA Continuity 2008"/>
      <sheetName val="FA Continuity 2009"/>
      <sheetName val="Trial Balance"/>
      <sheetName val="2006 Balance Sheet"/>
      <sheetName val="2006 Income Statement"/>
      <sheetName val="2007 Balance Sheet"/>
      <sheetName val="2007 Income Statement"/>
      <sheetName val="2008 Balance Sheet"/>
      <sheetName val="2008 Income Statement"/>
      <sheetName val="2009 Balance Sheet"/>
      <sheetName val="2009 Income Statement"/>
      <sheetName val="IS Comparison"/>
      <sheetName val="Debt &amp; Capital Structure"/>
      <sheetName val="Return on Capital"/>
      <sheetName val="Tax rates"/>
      <sheetName val="CCA Continuity 2008"/>
      <sheetName val="CCA Continuity 2009"/>
      <sheetName val="Reserves Continuity"/>
      <sheetName val="Corporation Loss Continuity"/>
      <sheetName val="Interest Schedule"/>
      <sheetName val="Tax Adjustments 2008"/>
      <sheetName val="Tax Adjustments 2009"/>
      <sheetName val="2009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10">
          <cell r="B10" t="str">
            <v>Service Revenue Requirement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41"/>
  <sheetViews>
    <sheetView tabSelected="1" zoomScale="80" workbookViewId="0">
      <pane xSplit="1" ySplit="2" topLeftCell="B3" activePane="bottomRight" state="frozen"/>
      <selection activeCell="AB30" sqref="AB30"/>
      <selection pane="topRight" activeCell="AB30" sqref="AB30"/>
      <selection pane="bottomLeft" activeCell="AB30" sqref="AB30"/>
      <selection pane="bottomRight" activeCell="B3" sqref="B3"/>
    </sheetView>
  </sheetViews>
  <sheetFormatPr defaultRowHeight="12.75" outlineLevelCol="1" x14ac:dyDescent="0.2"/>
  <cols>
    <col min="1" max="1" width="15" style="24" customWidth="1"/>
    <col min="2" max="2" width="18" style="25" customWidth="1"/>
    <col min="3" max="3" width="11.7109375" style="29" customWidth="1"/>
    <col min="4" max="4" width="13.42578125" style="29" customWidth="1"/>
    <col min="5" max="5" width="10.140625" style="29" customWidth="1"/>
    <col min="6" max="6" width="12.42578125" style="29" customWidth="1"/>
    <col min="7" max="7" width="10.5703125" style="29" customWidth="1"/>
    <col min="8" max="8" width="14.42578125" style="29" customWidth="1"/>
    <col min="9" max="9" width="14.5703125" style="29" customWidth="1"/>
    <col min="10" max="10" width="15.42578125" style="29" bestFit="1" customWidth="1"/>
    <col min="11" max="11" width="14.42578125" style="6" customWidth="1" outlineLevel="1"/>
    <col min="12" max="12" width="12.42578125" style="2" customWidth="1" outlineLevel="1"/>
    <col min="13" max="13" width="13" style="39" customWidth="1" outlineLevel="1"/>
    <col min="14" max="14" width="17" style="2" customWidth="1"/>
    <col min="15" max="15" width="12.42578125" style="2" customWidth="1"/>
    <col min="16" max="16" width="28.140625" style="4" customWidth="1"/>
    <col min="17" max="17" width="18" style="4" customWidth="1"/>
    <col min="18" max="18" width="20" style="4" customWidth="1"/>
    <col min="19" max="19" width="18" style="4" customWidth="1"/>
    <col min="20" max="20" width="17.140625" style="4" customWidth="1"/>
    <col min="21" max="22" width="15.7109375" style="4" customWidth="1"/>
    <col min="23" max="23" width="15" customWidth="1"/>
    <col min="24" max="24" width="14.85546875" bestFit="1" customWidth="1"/>
    <col min="25" max="25" width="14.140625" style="4" bestFit="1" customWidth="1"/>
    <col min="26" max="26" width="11.7109375" style="4" bestFit="1" customWidth="1"/>
    <col min="27" max="27" width="11.85546875" style="4" bestFit="1" customWidth="1"/>
    <col min="28" max="28" width="12.5703125" style="3" customWidth="1"/>
    <col min="29" max="29" width="11.28515625" style="3" customWidth="1"/>
    <col min="30" max="30" width="11.5703125" style="3" customWidth="1"/>
    <col min="31" max="31" width="9.28515625" style="3" customWidth="1"/>
    <col min="32" max="32" width="9.140625" style="3"/>
    <col min="33" max="33" width="11.7109375" style="3" bestFit="1" customWidth="1"/>
    <col min="34" max="34" width="10.7109375" style="3" bestFit="1" customWidth="1"/>
    <col min="35" max="36" width="9.140625" style="3"/>
    <col min="37" max="16384" width="9.140625" style="4"/>
  </cols>
  <sheetData>
    <row r="1" spans="1:30" x14ac:dyDescent="0.2">
      <c r="B1" s="46"/>
      <c r="M1" s="32"/>
    </row>
    <row r="2" spans="1:30" ht="42" customHeight="1" x14ac:dyDescent="0.2">
      <c r="B2" s="50" t="s">
        <v>0</v>
      </c>
      <c r="C2" s="51" t="s">
        <v>1</v>
      </c>
      <c r="D2" s="51" t="s">
        <v>2</v>
      </c>
      <c r="E2" s="51" t="s">
        <v>3</v>
      </c>
      <c r="F2" s="51" t="s">
        <v>9</v>
      </c>
      <c r="G2" s="51" t="s">
        <v>38</v>
      </c>
      <c r="H2" s="51" t="s">
        <v>43</v>
      </c>
      <c r="I2" s="51" t="s">
        <v>48</v>
      </c>
      <c r="J2" s="51" t="s">
        <v>7</v>
      </c>
      <c r="K2" s="19" t="s">
        <v>5</v>
      </c>
      <c r="L2" s="18" t="s">
        <v>10</v>
      </c>
      <c r="M2" s="37" t="s">
        <v>4</v>
      </c>
      <c r="N2" s="18" t="s">
        <v>8</v>
      </c>
      <c r="O2" s="18" t="s">
        <v>39</v>
      </c>
      <c r="AB2" s="20"/>
      <c r="AC2" s="20"/>
      <c r="AD2" s="20"/>
    </row>
    <row r="3" spans="1:30" x14ac:dyDescent="0.2">
      <c r="A3" s="52">
        <v>36161</v>
      </c>
      <c r="B3" s="53">
        <v>63487135.799999997</v>
      </c>
      <c r="C3" s="29">
        <v>943.6</v>
      </c>
      <c r="D3" s="29">
        <v>0</v>
      </c>
      <c r="E3" s="53">
        <v>31</v>
      </c>
      <c r="F3" s="53">
        <v>0</v>
      </c>
      <c r="G3" s="53">
        <v>0</v>
      </c>
      <c r="H3" s="53">
        <v>248.6</v>
      </c>
      <c r="I3" s="66">
        <v>9.1999999999999993</v>
      </c>
      <c r="J3" s="53">
        <f>$Q$19+C3*$Q$20+D3*$Q$21+E3*$Q$22+F3*$Q$23+G3*$Q$24+H3*$Q$25</f>
        <v>62861674.308203779</v>
      </c>
      <c r="K3" s="6">
        <v>105.43350751374578</v>
      </c>
      <c r="L3" s="1">
        <v>53395.398799999995</v>
      </c>
      <c r="M3" s="38">
        <v>319.92</v>
      </c>
      <c r="N3" s="1">
        <f t="shared" ref="N3:N34" si="0">J3-B3</f>
        <v>-625461.49179621786</v>
      </c>
      <c r="O3" s="35">
        <f t="shared" ref="O3:O34" si="1">ABS(N3/B3)</f>
        <v>9.8517831040066846E-3</v>
      </c>
      <c r="P3" t="s">
        <v>11</v>
      </c>
      <c r="Q3"/>
      <c r="R3"/>
      <c r="S3"/>
      <c r="T3"/>
      <c r="U3"/>
      <c r="V3"/>
    </row>
    <row r="4" spans="1:30" ht="13.5" thickBot="1" x14ac:dyDescent="0.25">
      <c r="A4" s="52">
        <v>36192</v>
      </c>
      <c r="B4" s="53">
        <v>52841335.700000003</v>
      </c>
      <c r="C4" s="29">
        <v>690.8</v>
      </c>
      <c r="D4" s="29">
        <v>0</v>
      </c>
      <c r="E4" s="53">
        <v>28</v>
      </c>
      <c r="F4" s="53">
        <v>0</v>
      </c>
      <c r="G4" s="53">
        <v>0</v>
      </c>
      <c r="H4" s="53">
        <v>248.6</v>
      </c>
      <c r="I4" s="66">
        <v>9.1999999999999993</v>
      </c>
      <c r="J4" s="53">
        <f t="shared" ref="J4:J67" si="2">$Q$19+C4*$Q$20+D4*$Q$21+E4*$Q$22+F4*$Q$23+G4*$Q$24+H4*$Q$25</f>
        <v>53092808.091209836</v>
      </c>
      <c r="K4" s="6">
        <v>106.07084452911343</v>
      </c>
      <c r="L4" s="1">
        <f t="shared" ref="L4:L27" si="3">L3-26.0167</f>
        <v>53369.382099999995</v>
      </c>
      <c r="M4" s="38">
        <v>319.87200000000001</v>
      </c>
      <c r="N4" s="1">
        <f t="shared" si="0"/>
        <v>251472.39120983332</v>
      </c>
      <c r="O4" s="35">
        <f t="shared" si="1"/>
        <v>4.759008981861019E-3</v>
      </c>
      <c r="P4"/>
      <c r="Q4"/>
      <c r="R4"/>
      <c r="S4"/>
      <c r="T4"/>
      <c r="U4"/>
      <c r="V4"/>
    </row>
    <row r="5" spans="1:30" x14ac:dyDescent="0.2">
      <c r="A5" s="52">
        <v>36220</v>
      </c>
      <c r="B5" s="53">
        <v>54688698.5</v>
      </c>
      <c r="C5" s="29">
        <v>672.5</v>
      </c>
      <c r="D5" s="29">
        <v>0</v>
      </c>
      <c r="E5" s="53">
        <v>31</v>
      </c>
      <c r="F5" s="53">
        <v>1</v>
      </c>
      <c r="G5" s="53">
        <v>0</v>
      </c>
      <c r="H5" s="53">
        <v>248.6</v>
      </c>
      <c r="I5" s="66">
        <v>9.1999999999999993</v>
      </c>
      <c r="J5" s="53">
        <f t="shared" si="2"/>
        <v>54263608.602987289</v>
      </c>
      <c r="K5" s="6">
        <v>106.71203419513016</v>
      </c>
      <c r="L5" s="1">
        <f t="shared" si="3"/>
        <v>53343.365399999995</v>
      </c>
      <c r="M5" s="38">
        <v>368.28</v>
      </c>
      <c r="N5" s="1">
        <f t="shared" si="0"/>
        <v>-425089.89701271057</v>
      </c>
      <c r="O5" s="35">
        <f t="shared" si="1"/>
        <v>7.7729020560383345E-3</v>
      </c>
      <c r="P5" s="10" t="s">
        <v>12</v>
      </c>
      <c r="Q5" s="10"/>
      <c r="R5"/>
      <c r="S5"/>
      <c r="T5"/>
      <c r="U5"/>
      <c r="V5"/>
    </row>
    <row r="6" spans="1:30" x14ac:dyDescent="0.2">
      <c r="A6" s="52">
        <v>36251</v>
      </c>
      <c r="B6" s="53">
        <v>44591785</v>
      </c>
      <c r="C6" s="29">
        <v>383.7</v>
      </c>
      <c r="D6" s="29">
        <v>0</v>
      </c>
      <c r="E6" s="53">
        <v>30</v>
      </c>
      <c r="F6" s="53">
        <v>1</v>
      </c>
      <c r="G6" s="53">
        <v>0</v>
      </c>
      <c r="H6" s="53">
        <v>248.6</v>
      </c>
      <c r="I6" s="66">
        <v>9.1999999999999993</v>
      </c>
      <c r="J6" s="53">
        <f t="shared" si="2"/>
        <v>45883225.549110286</v>
      </c>
      <c r="K6" s="6">
        <v>107.35709980075717</v>
      </c>
      <c r="L6" s="1">
        <f t="shared" si="3"/>
        <v>53317.348699999995</v>
      </c>
      <c r="M6" s="38">
        <v>336.24</v>
      </c>
      <c r="N6" s="1">
        <f t="shared" si="0"/>
        <v>1291440.5491102859</v>
      </c>
      <c r="O6" s="35">
        <f t="shared" si="1"/>
        <v>2.8961400605745789E-2</v>
      </c>
      <c r="P6" s="7" t="s">
        <v>13</v>
      </c>
      <c r="Q6" s="7">
        <v>0.98893838945176138</v>
      </c>
      <c r="R6"/>
      <c r="S6"/>
      <c r="T6"/>
      <c r="U6"/>
      <c r="V6"/>
    </row>
    <row r="7" spans="1:30" x14ac:dyDescent="0.2">
      <c r="A7" s="52">
        <v>36281</v>
      </c>
      <c r="B7" s="53">
        <v>43099943</v>
      </c>
      <c r="C7" s="29">
        <v>135.9</v>
      </c>
      <c r="D7" s="29">
        <v>16.100000000000001</v>
      </c>
      <c r="E7" s="53">
        <v>31</v>
      </c>
      <c r="F7" s="53">
        <v>1</v>
      </c>
      <c r="G7" s="53">
        <v>0</v>
      </c>
      <c r="H7" s="53">
        <v>248.6</v>
      </c>
      <c r="I7" s="66">
        <v>9.1999999999999993</v>
      </c>
      <c r="J7" s="53">
        <f t="shared" si="2"/>
        <v>42123737.319806188</v>
      </c>
      <c r="K7" s="6">
        <v>108.00606477573555</v>
      </c>
      <c r="L7" s="1">
        <f t="shared" si="3"/>
        <v>53291.331999999995</v>
      </c>
      <c r="M7" s="38">
        <v>319.92</v>
      </c>
      <c r="N7" s="1">
        <f t="shared" si="0"/>
        <v>-976205.68019381166</v>
      </c>
      <c r="O7" s="35">
        <f t="shared" si="1"/>
        <v>2.2649813717707506E-2</v>
      </c>
      <c r="P7" s="7" t="s">
        <v>14</v>
      </c>
      <c r="Q7" s="7">
        <v>0.97799913813144368</v>
      </c>
      <c r="R7"/>
      <c r="S7"/>
      <c r="T7"/>
      <c r="U7"/>
      <c r="V7"/>
    </row>
    <row r="8" spans="1:30" x14ac:dyDescent="0.2">
      <c r="A8" s="52">
        <v>36312</v>
      </c>
      <c r="B8" s="53">
        <v>43342959.899999999</v>
      </c>
      <c r="C8" s="29">
        <v>50.6</v>
      </c>
      <c r="D8" s="29">
        <v>58.2</v>
      </c>
      <c r="E8" s="53">
        <v>30</v>
      </c>
      <c r="F8" s="53">
        <v>0</v>
      </c>
      <c r="G8" s="53">
        <v>0</v>
      </c>
      <c r="H8" s="53">
        <v>248.6</v>
      </c>
      <c r="I8" s="66">
        <v>9.1999999999999993</v>
      </c>
      <c r="J8" s="53">
        <f t="shared" si="2"/>
        <v>44056029.67722863</v>
      </c>
      <c r="K8" s="6">
        <v>108.65895269143728</v>
      </c>
      <c r="L8" s="1">
        <f t="shared" si="3"/>
        <v>53265.315299999995</v>
      </c>
      <c r="M8" s="38">
        <v>352.08</v>
      </c>
      <c r="N8" s="1">
        <f t="shared" si="0"/>
        <v>713069.77722863108</v>
      </c>
      <c r="O8" s="35">
        <f t="shared" si="1"/>
        <v>1.645180160454688E-2</v>
      </c>
      <c r="P8" s="7" t="s">
        <v>15</v>
      </c>
      <c r="Q8" s="7">
        <v>0.97728559666543635</v>
      </c>
      <c r="R8"/>
      <c r="S8"/>
      <c r="T8"/>
      <c r="U8"/>
      <c r="V8"/>
    </row>
    <row r="9" spans="1:30" x14ac:dyDescent="0.2">
      <c r="A9" s="52">
        <v>36342</v>
      </c>
      <c r="B9" s="53">
        <v>45592773.400000006</v>
      </c>
      <c r="C9" s="29">
        <v>17.899999999999999</v>
      </c>
      <c r="D9" s="29">
        <v>80.400000000000006</v>
      </c>
      <c r="E9" s="53">
        <v>31</v>
      </c>
      <c r="F9" s="53">
        <v>0</v>
      </c>
      <c r="G9" s="53">
        <v>0</v>
      </c>
      <c r="H9" s="53">
        <v>248.6</v>
      </c>
      <c r="I9" s="66">
        <v>9.1999999999999993</v>
      </c>
      <c r="J9" s="53">
        <f t="shared" si="2"/>
        <v>46179178.187183432</v>
      </c>
      <c r="K9" s="6">
        <v>109.31578726172135</v>
      </c>
      <c r="L9" s="1">
        <f t="shared" si="3"/>
        <v>53239.298599999995</v>
      </c>
      <c r="M9" s="38">
        <v>336.28800000000001</v>
      </c>
      <c r="N9" s="1">
        <f t="shared" si="0"/>
        <v>586404.78718342632</v>
      </c>
      <c r="O9" s="35">
        <f t="shared" si="1"/>
        <v>1.2861792416940932E-2</v>
      </c>
      <c r="P9" s="7" t="s">
        <v>16</v>
      </c>
      <c r="Q9" s="7">
        <v>1085884.2839174524</v>
      </c>
      <c r="R9"/>
      <c r="S9"/>
      <c r="T9"/>
      <c r="U9"/>
      <c r="V9"/>
    </row>
    <row r="10" spans="1:30" ht="13.5" thickBot="1" x14ac:dyDescent="0.25">
      <c r="A10" s="52">
        <v>36373</v>
      </c>
      <c r="B10" s="53">
        <v>42287374.5</v>
      </c>
      <c r="C10" s="29">
        <v>56.3</v>
      </c>
      <c r="D10" s="29">
        <v>23.2</v>
      </c>
      <c r="E10" s="53">
        <v>31</v>
      </c>
      <c r="F10" s="53">
        <v>0</v>
      </c>
      <c r="G10" s="53">
        <v>0</v>
      </c>
      <c r="H10" s="53">
        <v>248.6</v>
      </c>
      <c r="I10" s="66">
        <v>9.1999999999999993</v>
      </c>
      <c r="J10" s="53">
        <f t="shared" si="2"/>
        <v>42510625.759418182</v>
      </c>
      <c r="K10" s="6">
        <v>109.97659234379516</v>
      </c>
      <c r="L10" s="1">
        <f t="shared" si="3"/>
        <v>53213.281899999994</v>
      </c>
      <c r="M10" s="38">
        <v>336.28800000000001</v>
      </c>
      <c r="N10" s="1">
        <f t="shared" si="0"/>
        <v>223251.25941818208</v>
      </c>
      <c r="O10" s="35">
        <f t="shared" si="1"/>
        <v>5.2793833161286019E-3</v>
      </c>
      <c r="P10" s="8" t="s">
        <v>17</v>
      </c>
      <c r="Q10" s="8">
        <v>192</v>
      </c>
      <c r="R10"/>
      <c r="S10"/>
      <c r="T10"/>
      <c r="U10"/>
      <c r="V10"/>
    </row>
    <row r="11" spans="1:30" x14ac:dyDescent="0.2">
      <c r="A11" s="52">
        <v>36404</v>
      </c>
      <c r="B11" s="53">
        <v>41300857.799999997</v>
      </c>
      <c r="C11" s="29">
        <v>114.9</v>
      </c>
      <c r="D11" s="29">
        <v>28.3</v>
      </c>
      <c r="E11" s="53">
        <v>30</v>
      </c>
      <c r="F11" s="53">
        <v>1</v>
      </c>
      <c r="G11" s="53">
        <v>0</v>
      </c>
      <c r="H11" s="53">
        <v>248.6</v>
      </c>
      <c r="I11" s="66">
        <v>9.1999999999999993</v>
      </c>
      <c r="J11" s="53">
        <f t="shared" si="2"/>
        <v>41440083.497039787</v>
      </c>
      <c r="K11" s="6">
        <v>110.64139193908095</v>
      </c>
      <c r="L11" s="1">
        <f t="shared" si="3"/>
        <v>53187.265199999994</v>
      </c>
      <c r="M11" s="38">
        <v>336.24</v>
      </c>
      <c r="N11" s="1">
        <f t="shared" si="0"/>
        <v>139225.69703979045</v>
      </c>
      <c r="O11" s="35">
        <f t="shared" si="1"/>
        <v>3.3710122369368916E-3</v>
      </c>
      <c r="P11"/>
      <c r="Q11"/>
      <c r="R11"/>
      <c r="S11"/>
      <c r="T11"/>
      <c r="U11"/>
      <c r="V11"/>
    </row>
    <row r="12" spans="1:30" ht="13.5" thickBot="1" x14ac:dyDescent="0.25">
      <c r="A12" s="52">
        <v>36434</v>
      </c>
      <c r="B12" s="53">
        <v>46442289.5</v>
      </c>
      <c r="C12" s="29">
        <v>396.7</v>
      </c>
      <c r="D12" s="29">
        <v>0</v>
      </c>
      <c r="E12" s="53">
        <v>31</v>
      </c>
      <c r="F12" s="53">
        <v>1</v>
      </c>
      <c r="G12" s="53">
        <v>0</v>
      </c>
      <c r="H12" s="53">
        <v>248.6</v>
      </c>
      <c r="I12" s="66">
        <v>9.1999999999999993</v>
      </c>
      <c r="J12" s="53">
        <f t="shared" si="2"/>
        <v>47354098.113856107</v>
      </c>
      <c r="K12" s="6">
        <v>111.31021019408762</v>
      </c>
      <c r="L12" s="1">
        <f t="shared" si="3"/>
        <v>53161.248499999994</v>
      </c>
      <c r="M12" s="38">
        <v>319.92</v>
      </c>
      <c r="N12" s="1">
        <f t="shared" si="0"/>
        <v>911808.613856107</v>
      </c>
      <c r="O12" s="35">
        <f t="shared" si="1"/>
        <v>1.96331538275284E-2</v>
      </c>
      <c r="P12" t="s">
        <v>18</v>
      </c>
      <c r="Q12"/>
      <c r="R12"/>
      <c r="S12"/>
      <c r="T12"/>
      <c r="U12"/>
      <c r="V12"/>
    </row>
    <row r="13" spans="1:30" x14ac:dyDescent="0.2">
      <c r="A13" s="52">
        <v>36465</v>
      </c>
      <c r="B13" s="53">
        <v>50218866</v>
      </c>
      <c r="C13" s="29">
        <v>504.5</v>
      </c>
      <c r="D13" s="29">
        <v>0</v>
      </c>
      <c r="E13" s="53">
        <v>30</v>
      </c>
      <c r="F13" s="53">
        <v>1</v>
      </c>
      <c r="G13" s="53">
        <v>0</v>
      </c>
      <c r="H13" s="53">
        <v>248.6</v>
      </c>
      <c r="I13" s="66">
        <v>9.1999999999999993</v>
      </c>
      <c r="J13" s="53">
        <f t="shared" si="2"/>
        <v>48909581.122304797</v>
      </c>
      <c r="K13" s="6">
        <v>111.98307140128777</v>
      </c>
      <c r="L13" s="1">
        <f t="shared" si="3"/>
        <v>53135.231799999994</v>
      </c>
      <c r="M13" s="38">
        <v>352.08</v>
      </c>
      <c r="N13" s="1">
        <f t="shared" si="0"/>
        <v>-1309284.8776952028</v>
      </c>
      <c r="O13" s="35">
        <f t="shared" si="1"/>
        <v>2.6071573931900471E-2</v>
      </c>
      <c r="P13" s="9"/>
      <c r="Q13" s="9" t="s">
        <v>21</v>
      </c>
      <c r="R13" s="9" t="s">
        <v>22</v>
      </c>
      <c r="S13" s="9" t="s">
        <v>23</v>
      </c>
      <c r="T13" s="9" t="s">
        <v>24</v>
      </c>
      <c r="U13" s="9" t="s">
        <v>25</v>
      </c>
      <c r="V13"/>
    </row>
    <row r="14" spans="1:30" x14ac:dyDescent="0.2">
      <c r="A14" s="52">
        <v>36495</v>
      </c>
      <c r="B14" s="53">
        <v>58891278.099999994</v>
      </c>
      <c r="C14" s="29">
        <v>759</v>
      </c>
      <c r="D14" s="29">
        <v>0</v>
      </c>
      <c r="E14" s="53">
        <v>31</v>
      </c>
      <c r="F14" s="53">
        <v>0</v>
      </c>
      <c r="G14" s="53">
        <v>0</v>
      </c>
      <c r="H14" s="53">
        <v>248.6</v>
      </c>
      <c r="I14" s="66">
        <v>9.1999999999999993</v>
      </c>
      <c r="J14" s="53">
        <f t="shared" si="2"/>
        <v>58236962.066385016</v>
      </c>
      <c r="K14" s="6">
        <v>112.66</v>
      </c>
      <c r="L14" s="1">
        <f t="shared" si="3"/>
        <v>53109.215099999994</v>
      </c>
      <c r="M14" s="38">
        <v>336.28800000000001</v>
      </c>
      <c r="N14" s="1">
        <f t="shared" si="0"/>
        <v>-654316.03361497819</v>
      </c>
      <c r="O14" s="35">
        <f t="shared" si="1"/>
        <v>1.111057621306708E-2</v>
      </c>
      <c r="P14" s="7" t="s">
        <v>19</v>
      </c>
      <c r="Q14" s="7">
        <v>6</v>
      </c>
      <c r="R14" s="7">
        <v>9697004593105548</v>
      </c>
      <c r="S14" s="7">
        <v>1616167432184258</v>
      </c>
      <c r="T14" s="7">
        <v>1370.626914794507</v>
      </c>
      <c r="U14" s="7">
        <v>2.0034157030540616E-150</v>
      </c>
      <c r="V14"/>
    </row>
    <row r="15" spans="1:30" x14ac:dyDescent="0.2">
      <c r="A15" s="52">
        <v>36526</v>
      </c>
      <c r="B15" s="53">
        <v>64153164.5</v>
      </c>
      <c r="C15" s="29">
        <v>972</v>
      </c>
      <c r="D15" s="29">
        <v>0</v>
      </c>
      <c r="E15" s="53">
        <v>31</v>
      </c>
      <c r="F15" s="53">
        <v>0</v>
      </c>
      <c r="G15" s="53">
        <v>0</v>
      </c>
      <c r="H15" s="53">
        <v>248.6</v>
      </c>
      <c r="I15" s="66">
        <v>9.1999999999999993</v>
      </c>
      <c r="J15" s="53">
        <f t="shared" si="2"/>
        <v>63573168.499252826</v>
      </c>
      <c r="K15" s="6">
        <v>113.19947436635084</v>
      </c>
      <c r="L15" s="1">
        <f t="shared" si="3"/>
        <v>53083.198399999994</v>
      </c>
      <c r="M15" s="38">
        <v>319.92</v>
      </c>
      <c r="N15" s="1">
        <f t="shared" si="0"/>
        <v>-579996.00074717402</v>
      </c>
      <c r="O15" s="35">
        <f t="shared" si="1"/>
        <v>9.0408011088396745E-3</v>
      </c>
      <c r="P15" s="7" t="s">
        <v>20</v>
      </c>
      <c r="Q15" s="7">
        <v>185</v>
      </c>
      <c r="R15" s="7">
        <v>218141765440899.94</v>
      </c>
      <c r="S15" s="7">
        <v>1179144678058.9187</v>
      </c>
      <c r="T15" s="7"/>
      <c r="U15" s="7"/>
      <c r="V15"/>
    </row>
    <row r="16" spans="1:30" ht="13.5" thickBot="1" x14ac:dyDescent="0.25">
      <c r="A16" s="52">
        <v>36557</v>
      </c>
      <c r="B16" s="53">
        <v>56490500.700000003</v>
      </c>
      <c r="C16" s="29">
        <v>758.8</v>
      </c>
      <c r="D16" s="29">
        <v>0</v>
      </c>
      <c r="E16" s="53">
        <v>29</v>
      </c>
      <c r="F16" s="53">
        <v>0</v>
      </c>
      <c r="G16" s="53">
        <v>0</v>
      </c>
      <c r="H16" s="53">
        <v>248.6</v>
      </c>
      <c r="I16" s="66">
        <v>9.1999999999999993</v>
      </c>
      <c r="J16" s="53">
        <f t="shared" si="2"/>
        <v>55941574.335804142</v>
      </c>
      <c r="K16" s="6">
        <v>113.74153201507296</v>
      </c>
      <c r="L16" s="1">
        <f t="shared" si="3"/>
        <v>53057.181699999994</v>
      </c>
      <c r="M16" s="38">
        <v>336.16799999999995</v>
      </c>
      <c r="N16" s="1">
        <f t="shared" si="0"/>
        <v>-548926.36419586092</v>
      </c>
      <c r="O16" s="35">
        <f t="shared" si="1"/>
        <v>9.7171446065065746E-3</v>
      </c>
      <c r="P16" s="8" t="s">
        <v>6</v>
      </c>
      <c r="Q16" s="8">
        <v>191</v>
      </c>
      <c r="R16" s="8">
        <v>9915146358546448</v>
      </c>
      <c r="S16" s="8"/>
      <c r="T16" s="8"/>
      <c r="U16" s="8"/>
      <c r="V16"/>
    </row>
    <row r="17" spans="1:24" ht="13.5" thickBot="1" x14ac:dyDescent="0.25">
      <c r="A17" s="52">
        <v>36586</v>
      </c>
      <c r="B17" s="53">
        <v>52703249.400000006</v>
      </c>
      <c r="C17" s="29">
        <v>570.79999999999995</v>
      </c>
      <c r="D17" s="29">
        <v>0</v>
      </c>
      <c r="E17" s="53">
        <v>31</v>
      </c>
      <c r="F17" s="53">
        <v>1</v>
      </c>
      <c r="G17" s="53">
        <v>0</v>
      </c>
      <c r="H17" s="53">
        <v>248.6</v>
      </c>
      <c r="I17" s="66">
        <v>9.1999999999999993</v>
      </c>
      <c r="J17" s="53">
        <f t="shared" si="2"/>
        <v>51715757.92588561</v>
      </c>
      <c r="K17" s="6">
        <v>114.28618531625887</v>
      </c>
      <c r="L17" s="1">
        <f t="shared" si="3"/>
        <v>53031.164999999994</v>
      </c>
      <c r="M17" s="38">
        <v>368.28</v>
      </c>
      <c r="N17" s="1">
        <f t="shared" si="0"/>
        <v>-987491.47411439568</v>
      </c>
      <c r="O17" s="35">
        <f t="shared" si="1"/>
        <v>1.8736823352572936E-2</v>
      </c>
      <c r="P17"/>
      <c r="Q17"/>
      <c r="R17"/>
      <c r="S17"/>
      <c r="T17"/>
      <c r="U17"/>
      <c r="V17"/>
    </row>
    <row r="18" spans="1:24" x14ac:dyDescent="0.2">
      <c r="A18" s="52">
        <v>36617</v>
      </c>
      <c r="B18" s="53">
        <v>45985994.700000003</v>
      </c>
      <c r="C18" s="29">
        <v>435.7</v>
      </c>
      <c r="D18" s="29">
        <v>0</v>
      </c>
      <c r="E18" s="53">
        <v>30</v>
      </c>
      <c r="F18" s="53">
        <v>1</v>
      </c>
      <c r="G18" s="53">
        <v>0</v>
      </c>
      <c r="H18" s="53">
        <v>248.6</v>
      </c>
      <c r="I18" s="66">
        <v>9.1999999999999993</v>
      </c>
      <c r="J18" s="53">
        <f t="shared" si="2"/>
        <v>47185961.391876139</v>
      </c>
      <c r="K18" s="6">
        <v>114.83344669923545</v>
      </c>
      <c r="L18" s="1">
        <f t="shared" si="3"/>
        <v>53005.148299999993</v>
      </c>
      <c r="M18" s="38">
        <v>303.83999999999997</v>
      </c>
      <c r="N18" s="1">
        <f t="shared" si="0"/>
        <v>1199966.6918761358</v>
      </c>
      <c r="O18" s="35">
        <f t="shared" si="1"/>
        <v>2.6094177144680437E-2</v>
      </c>
      <c r="P18" s="9"/>
      <c r="Q18" s="9" t="s">
        <v>26</v>
      </c>
      <c r="R18" s="9" t="s">
        <v>16</v>
      </c>
      <c r="S18" s="9" t="s">
        <v>27</v>
      </c>
      <c r="T18" s="9" t="s">
        <v>28</v>
      </c>
      <c r="U18" s="9" t="s">
        <v>29</v>
      </c>
      <c r="V18" s="9" t="s">
        <v>30</v>
      </c>
      <c r="W18" s="9" t="s">
        <v>44</v>
      </c>
      <c r="X18" s="9" t="s">
        <v>45</v>
      </c>
    </row>
    <row r="19" spans="1:24" x14ac:dyDescent="0.2">
      <c r="A19" s="52">
        <v>36647</v>
      </c>
      <c r="B19" s="53">
        <v>42508040.599999994</v>
      </c>
      <c r="C19" s="29">
        <v>201.1</v>
      </c>
      <c r="D19" s="29">
        <v>2.8</v>
      </c>
      <c r="E19" s="53">
        <v>31</v>
      </c>
      <c r="F19" s="53">
        <v>1</v>
      </c>
      <c r="G19" s="53">
        <v>0</v>
      </c>
      <c r="H19" s="53">
        <v>248.6</v>
      </c>
      <c r="I19" s="66">
        <v>9.1999999999999993</v>
      </c>
      <c r="J19" s="53">
        <f t="shared" si="2"/>
        <v>42680478.529053383</v>
      </c>
      <c r="K19" s="6">
        <v>115.38332865284767</v>
      </c>
      <c r="L19" s="1">
        <f t="shared" si="3"/>
        <v>52979.131599999993</v>
      </c>
      <c r="M19" s="38">
        <v>351.91199999999998</v>
      </c>
      <c r="N19" s="1">
        <f t="shared" si="0"/>
        <v>172437.92905338854</v>
      </c>
      <c r="O19" s="35">
        <f t="shared" si="1"/>
        <v>4.0565955668487941E-3</v>
      </c>
      <c r="P19" s="7" t="s">
        <v>35</v>
      </c>
      <c r="Q19" s="7">
        <v>-6450447.067659785</v>
      </c>
      <c r="R19" s="7">
        <v>4156449.4378766781</v>
      </c>
      <c r="S19" s="7">
        <v>-1.5519127957815351</v>
      </c>
      <c r="T19" s="7">
        <v>0.12239211549011744</v>
      </c>
      <c r="U19" s="7">
        <v>-14650581.246591851</v>
      </c>
      <c r="V19" s="7">
        <v>1749687.111272281</v>
      </c>
      <c r="W19" s="7">
        <v>-14650581.246591851</v>
      </c>
      <c r="X19" s="7">
        <v>1749687.111272281</v>
      </c>
    </row>
    <row r="20" spans="1:24" x14ac:dyDescent="0.2">
      <c r="A20" s="52">
        <v>36678</v>
      </c>
      <c r="B20" s="53">
        <v>41335407.600000001</v>
      </c>
      <c r="C20" s="29">
        <v>104.1</v>
      </c>
      <c r="D20" s="29">
        <v>11.3</v>
      </c>
      <c r="E20" s="53">
        <v>30</v>
      </c>
      <c r="F20" s="53">
        <v>0</v>
      </c>
      <c r="G20" s="53">
        <v>0</v>
      </c>
      <c r="H20" s="53">
        <v>248.6</v>
      </c>
      <c r="I20" s="66">
        <v>9.1999999999999993</v>
      </c>
      <c r="J20" s="53">
        <f t="shared" si="2"/>
        <v>41599598.606024556</v>
      </c>
      <c r="K20" s="6">
        <v>115.9358437257435</v>
      </c>
      <c r="L20" s="1">
        <f t="shared" si="3"/>
        <v>52953.114899999993</v>
      </c>
      <c r="M20" s="38">
        <v>352.08</v>
      </c>
      <c r="N20" s="1">
        <f t="shared" si="0"/>
        <v>264191.00602455437</v>
      </c>
      <c r="O20" s="35">
        <f t="shared" si="1"/>
        <v>6.3913971426413215E-3</v>
      </c>
      <c r="P20" s="7" t="s">
        <v>1</v>
      </c>
      <c r="Q20" s="7">
        <v>25052.612360881729</v>
      </c>
      <c r="R20" s="7">
        <v>387.4233684452405</v>
      </c>
      <c r="S20" s="7">
        <v>64.664690881760109</v>
      </c>
      <c r="T20" s="7">
        <v>5.9965298206082111E-129</v>
      </c>
      <c r="U20" s="7">
        <v>24288.276440816324</v>
      </c>
      <c r="V20" s="7">
        <v>25816.948280947134</v>
      </c>
      <c r="W20" s="7">
        <v>24288.276440816324</v>
      </c>
      <c r="X20" s="7">
        <v>25816.948280947134</v>
      </c>
    </row>
    <row r="21" spans="1:24" x14ac:dyDescent="0.2">
      <c r="A21" s="52">
        <v>36708</v>
      </c>
      <c r="B21" s="53">
        <v>42423846.600000001</v>
      </c>
      <c r="C21" s="29">
        <v>48.4</v>
      </c>
      <c r="D21" s="29">
        <v>30.6</v>
      </c>
      <c r="E21" s="53">
        <v>31</v>
      </c>
      <c r="F21" s="53">
        <v>0</v>
      </c>
      <c r="G21" s="53">
        <v>0</v>
      </c>
      <c r="H21" s="53">
        <v>248.6</v>
      </c>
      <c r="I21" s="66">
        <v>9.1999999999999993</v>
      </c>
      <c r="J21" s="53">
        <f t="shared" si="2"/>
        <v>42911770.231800973</v>
      </c>
      <c r="K21" s="6">
        <v>116.49100452666036</v>
      </c>
      <c r="L21" s="1">
        <f t="shared" si="3"/>
        <v>52927.098199999993</v>
      </c>
      <c r="M21" s="38">
        <v>319.92</v>
      </c>
      <c r="N21" s="1">
        <f t="shared" si="0"/>
        <v>487923.63180097193</v>
      </c>
      <c r="O21" s="35">
        <f t="shared" si="1"/>
        <v>1.1501164342814965E-2</v>
      </c>
      <c r="P21" s="7" t="s">
        <v>2</v>
      </c>
      <c r="Q21" s="7">
        <v>80954.068923480881</v>
      </c>
      <c r="R21" s="7">
        <v>6016.7486204630977</v>
      </c>
      <c r="S21" s="7">
        <v>13.454786634787146</v>
      </c>
      <c r="T21" s="7">
        <v>3.2081776739952247E-29</v>
      </c>
      <c r="U21" s="7">
        <v>69083.806396263375</v>
      </c>
      <c r="V21" s="7">
        <v>92824.331450698388</v>
      </c>
      <c r="W21" s="7">
        <v>69083.806396263375</v>
      </c>
      <c r="X21" s="7">
        <v>92824.331450698388</v>
      </c>
    </row>
    <row r="22" spans="1:24" x14ac:dyDescent="0.2">
      <c r="A22" s="52">
        <v>36739</v>
      </c>
      <c r="B22" s="53">
        <v>43723678.899999999</v>
      </c>
      <c r="C22" s="29">
        <v>51.5</v>
      </c>
      <c r="D22" s="29">
        <v>24.2</v>
      </c>
      <c r="E22" s="53">
        <v>31</v>
      </c>
      <c r="F22" s="53">
        <v>0</v>
      </c>
      <c r="G22" s="53">
        <v>0</v>
      </c>
      <c r="H22" s="53">
        <v>248.6</v>
      </c>
      <c r="I22" s="66">
        <v>9.1999999999999993</v>
      </c>
      <c r="J22" s="53">
        <f t="shared" si="2"/>
        <v>42471327.28900943</v>
      </c>
      <c r="K22" s="6">
        <v>117.04882372471283</v>
      </c>
      <c r="L22" s="1">
        <f t="shared" si="3"/>
        <v>52901.081499999993</v>
      </c>
      <c r="M22" s="38">
        <v>351.91199999999998</v>
      </c>
      <c r="N22" s="1">
        <f t="shared" si="0"/>
        <v>-1252351.610990569</v>
      </c>
      <c r="O22" s="35">
        <f t="shared" si="1"/>
        <v>2.8642411674800059E-2</v>
      </c>
      <c r="P22" s="7" t="s">
        <v>3</v>
      </c>
      <c r="Q22" s="7">
        <v>1145188.6040543488</v>
      </c>
      <c r="R22" s="7">
        <v>100137.40774600065</v>
      </c>
      <c r="S22" s="7">
        <v>11.436171854569363</v>
      </c>
      <c r="T22" s="7">
        <v>2.9888077413952088E-23</v>
      </c>
      <c r="U22" s="7">
        <v>947630.52182079805</v>
      </c>
      <c r="V22" s="7">
        <v>1342746.6862878995</v>
      </c>
      <c r="W22" s="7">
        <v>947630.52182079805</v>
      </c>
      <c r="X22" s="7">
        <v>1342746.6862878995</v>
      </c>
    </row>
    <row r="23" spans="1:24" x14ac:dyDescent="0.2">
      <c r="A23" s="52">
        <v>36770</v>
      </c>
      <c r="B23" s="53">
        <v>41935856.200000003</v>
      </c>
      <c r="C23" s="29">
        <v>195.9</v>
      </c>
      <c r="D23" s="29">
        <v>5.7</v>
      </c>
      <c r="E23" s="53">
        <v>30</v>
      </c>
      <c r="F23" s="53">
        <v>1</v>
      </c>
      <c r="G23" s="53">
        <v>0</v>
      </c>
      <c r="H23" s="53">
        <v>248.6</v>
      </c>
      <c r="I23" s="66">
        <v>9.1999999999999993</v>
      </c>
      <c r="J23" s="53">
        <f t="shared" si="2"/>
        <v>41639783.14060054</v>
      </c>
      <c r="K23" s="6">
        <v>117.60931404968176</v>
      </c>
      <c r="L23" s="1">
        <f t="shared" si="3"/>
        <v>52875.064799999993</v>
      </c>
      <c r="M23" s="38">
        <v>319.68</v>
      </c>
      <c r="N23" s="1">
        <f t="shared" si="0"/>
        <v>-296073.05939946324</v>
      </c>
      <c r="O23" s="35">
        <f t="shared" si="1"/>
        <v>7.0601410398641916E-3</v>
      </c>
      <c r="P23" s="7" t="s">
        <v>9</v>
      </c>
      <c r="Q23" s="7">
        <v>-1806302.4941814637</v>
      </c>
      <c r="R23" s="7">
        <v>205644.23439858458</v>
      </c>
      <c r="S23" s="7">
        <v>-8.7836281890619166</v>
      </c>
      <c r="T23" s="7">
        <v>1.0596551665704205E-15</v>
      </c>
      <c r="U23" s="7">
        <v>-2212011.8238379802</v>
      </c>
      <c r="V23" s="7">
        <v>-1400593.1645249475</v>
      </c>
      <c r="W23" s="7">
        <v>-2212011.8238379802</v>
      </c>
      <c r="X23" s="7">
        <v>-1400593.1645249475</v>
      </c>
    </row>
    <row r="24" spans="1:24" x14ac:dyDescent="0.2">
      <c r="A24" s="52">
        <v>36800</v>
      </c>
      <c r="B24" s="53">
        <v>45622937.200000003</v>
      </c>
      <c r="C24" s="29">
        <v>336.8</v>
      </c>
      <c r="D24" s="29">
        <v>0</v>
      </c>
      <c r="E24" s="53">
        <v>31</v>
      </c>
      <c r="F24" s="53">
        <v>1</v>
      </c>
      <c r="G24" s="53">
        <v>0</v>
      </c>
      <c r="H24" s="53">
        <v>248.6</v>
      </c>
      <c r="I24" s="66">
        <v>9.1999999999999993</v>
      </c>
      <c r="J24" s="53">
        <f t="shared" si="2"/>
        <v>45853446.633439288</v>
      </c>
      <c r="K24" s="6">
        <v>118.17248829230476</v>
      </c>
      <c r="L24" s="1">
        <f t="shared" si="3"/>
        <v>52849.048099999993</v>
      </c>
      <c r="M24" s="38">
        <v>336.28800000000001</v>
      </c>
      <c r="N24" s="1">
        <f t="shared" si="0"/>
        <v>230509.43343928456</v>
      </c>
      <c r="O24" s="35">
        <f t="shared" si="1"/>
        <v>5.0524899882878329E-3</v>
      </c>
      <c r="P24" s="7" t="s">
        <v>38</v>
      </c>
      <c r="Q24" s="7">
        <v>-2105877.6961238068</v>
      </c>
      <c r="R24" s="7">
        <v>199102.9683246481</v>
      </c>
      <c r="S24" s="7">
        <v>-10.576827225850595</v>
      </c>
      <c r="T24" s="7">
        <v>9.4849172521841326E-21</v>
      </c>
      <c r="U24" s="7">
        <v>-2498681.9585328847</v>
      </c>
      <c r="V24" s="7">
        <v>-1713073.4337147288</v>
      </c>
      <c r="W24" s="7">
        <v>-2498681.9585328847</v>
      </c>
      <c r="X24" s="7">
        <v>-1713073.4337147288</v>
      </c>
    </row>
    <row r="25" spans="1:24" ht="13.5" thickBot="1" x14ac:dyDescent="0.25">
      <c r="A25" s="52">
        <v>36831</v>
      </c>
      <c r="B25" s="53">
        <v>50313527.200000003</v>
      </c>
      <c r="C25" s="29">
        <v>552.70000000000005</v>
      </c>
      <c r="D25" s="29">
        <v>0</v>
      </c>
      <c r="E25" s="53">
        <v>30</v>
      </c>
      <c r="F25" s="53">
        <v>1</v>
      </c>
      <c r="G25" s="53">
        <v>0</v>
      </c>
      <c r="H25" s="53">
        <v>248.6</v>
      </c>
      <c r="I25" s="66">
        <v>9.1999999999999993</v>
      </c>
      <c r="J25" s="53">
        <f t="shared" si="2"/>
        <v>50117117.038099304</v>
      </c>
      <c r="K25" s="6">
        <v>118.73835930456814</v>
      </c>
      <c r="L25" s="1">
        <f t="shared" si="3"/>
        <v>52823.031399999993</v>
      </c>
      <c r="M25" s="38">
        <v>352.08</v>
      </c>
      <c r="N25" s="1">
        <f t="shared" si="0"/>
        <v>-196410.16190069914</v>
      </c>
      <c r="O25" s="35">
        <f t="shared" si="1"/>
        <v>3.9037247601416249E-3</v>
      </c>
      <c r="P25" s="8" t="s">
        <v>43</v>
      </c>
      <c r="Q25" s="8">
        <v>40915.646124097977</v>
      </c>
      <c r="R25" s="8">
        <v>12278.023649403753</v>
      </c>
      <c r="S25" s="8">
        <v>3.3324293300318679</v>
      </c>
      <c r="T25" s="8">
        <v>1.0396543643723486E-3</v>
      </c>
      <c r="U25" s="8">
        <v>16692.7022673227</v>
      </c>
      <c r="V25" s="8">
        <v>65138.58998087325</v>
      </c>
      <c r="W25" s="8">
        <v>16692.7022673227</v>
      </c>
      <c r="X25" s="8">
        <v>65138.58998087325</v>
      </c>
    </row>
    <row r="26" spans="1:24" x14ac:dyDescent="0.2">
      <c r="A26" s="52">
        <v>36861</v>
      </c>
      <c r="B26" s="53">
        <v>63560276.100000001</v>
      </c>
      <c r="C26" s="29">
        <v>977.2</v>
      </c>
      <c r="D26" s="29">
        <v>0</v>
      </c>
      <c r="E26" s="53">
        <v>31</v>
      </c>
      <c r="F26" s="53">
        <v>0</v>
      </c>
      <c r="G26" s="53">
        <v>0</v>
      </c>
      <c r="H26" s="53">
        <v>248.6</v>
      </c>
      <c r="I26" s="66">
        <v>9.1999999999999993</v>
      </c>
      <c r="J26" s="53">
        <f t="shared" si="2"/>
        <v>63703442.083529413</v>
      </c>
      <c r="K26" s="6">
        <v>119.30694000000001</v>
      </c>
      <c r="L26" s="1">
        <f t="shared" si="3"/>
        <v>52797.014699999992</v>
      </c>
      <c r="M26" s="38">
        <v>304.29599999999999</v>
      </c>
      <c r="N26" s="1">
        <f t="shared" si="0"/>
        <v>143165.98352941126</v>
      </c>
      <c r="O26" s="35">
        <f t="shared" si="1"/>
        <v>2.2524443302317761E-3</v>
      </c>
      <c r="P26"/>
      <c r="Q26"/>
      <c r="R26"/>
      <c r="S26"/>
      <c r="T26"/>
      <c r="U26"/>
      <c r="V26"/>
    </row>
    <row r="27" spans="1:24" x14ac:dyDescent="0.2">
      <c r="A27" s="52">
        <v>36892</v>
      </c>
      <c r="B27" s="53">
        <v>62009098.799999997</v>
      </c>
      <c r="C27" s="29">
        <v>883.3</v>
      </c>
      <c r="D27" s="29">
        <v>0</v>
      </c>
      <c r="E27" s="53">
        <v>31</v>
      </c>
      <c r="F27" s="53">
        <v>0</v>
      </c>
      <c r="G27" s="53">
        <v>0</v>
      </c>
      <c r="H27" s="53">
        <v>248.6</v>
      </c>
      <c r="I27" s="66">
        <v>9.1999999999999993</v>
      </c>
      <c r="J27" s="53">
        <f t="shared" si="2"/>
        <v>61351001.782842614</v>
      </c>
      <c r="K27" s="6">
        <v>119.48444074573526</v>
      </c>
      <c r="L27" s="1">
        <f t="shared" si="3"/>
        <v>52770.997999999992</v>
      </c>
      <c r="M27" s="38">
        <v>351.91199999999998</v>
      </c>
      <c r="N27" s="1">
        <f t="shared" si="0"/>
        <v>-658097.01715738326</v>
      </c>
      <c r="O27" s="35">
        <f t="shared" si="1"/>
        <v>1.0612910522695473E-2</v>
      </c>
      <c r="P27"/>
      <c r="Q27"/>
      <c r="R27"/>
      <c r="S27"/>
      <c r="T27"/>
      <c r="U27"/>
      <c r="V27"/>
    </row>
    <row r="28" spans="1:24" x14ac:dyDescent="0.2">
      <c r="A28" s="52">
        <v>36925</v>
      </c>
      <c r="B28" s="53">
        <v>55385237.399999999</v>
      </c>
      <c r="C28" s="29">
        <v>813.7</v>
      </c>
      <c r="D28" s="29">
        <v>0</v>
      </c>
      <c r="E28" s="53">
        <v>28</v>
      </c>
      <c r="F28" s="53">
        <v>0</v>
      </c>
      <c r="G28" s="53">
        <v>0</v>
      </c>
      <c r="H28" s="53">
        <v>248.6</v>
      </c>
      <c r="I28" s="66">
        <v>9.1999999999999993</v>
      </c>
      <c r="J28" s="53">
        <f t="shared" si="2"/>
        <v>56171774.150362201</v>
      </c>
      <c r="K28" s="6">
        <v>119.662205570951</v>
      </c>
      <c r="L28" s="1">
        <f t="shared" ref="L28:L59" si="4">L27+19.9167</f>
        <v>52790.914699999994</v>
      </c>
      <c r="M28" s="38">
        <v>319.87200000000001</v>
      </c>
      <c r="N28" s="1">
        <f t="shared" si="0"/>
        <v>786536.75036220253</v>
      </c>
      <c r="O28" s="35">
        <f t="shared" si="1"/>
        <v>1.4201198501357377E-2</v>
      </c>
      <c r="P28"/>
      <c r="Q28"/>
      <c r="R28"/>
      <c r="S28"/>
      <c r="T28"/>
      <c r="U28"/>
      <c r="V28"/>
    </row>
    <row r="29" spans="1:24" x14ac:dyDescent="0.2">
      <c r="A29" s="52">
        <v>36958</v>
      </c>
      <c r="B29" s="53">
        <v>55156674</v>
      </c>
      <c r="C29" s="29">
        <v>709.6</v>
      </c>
      <c r="D29" s="29">
        <v>0</v>
      </c>
      <c r="E29" s="53">
        <v>31</v>
      </c>
      <c r="F29" s="53">
        <v>1</v>
      </c>
      <c r="G29" s="53">
        <v>0</v>
      </c>
      <c r="H29" s="53">
        <v>248.6</v>
      </c>
      <c r="I29" s="66">
        <v>9.1999999999999993</v>
      </c>
      <c r="J29" s="53">
        <f t="shared" si="2"/>
        <v>55193060.521576002</v>
      </c>
      <c r="K29" s="6">
        <v>119.8402348685356</v>
      </c>
      <c r="L29" s="1">
        <f t="shared" si="4"/>
        <v>52810.831399999995</v>
      </c>
      <c r="M29" s="38">
        <v>351.91199999999998</v>
      </c>
      <c r="N29" s="1">
        <f t="shared" si="0"/>
        <v>36386.52157600224</v>
      </c>
      <c r="O29" s="35">
        <f t="shared" si="1"/>
        <v>6.5969390351568766E-4</v>
      </c>
      <c r="P29" s="63" t="s">
        <v>46</v>
      </c>
      <c r="Q29" s="61" t="s">
        <v>32</v>
      </c>
      <c r="S29" s="23"/>
      <c r="V29"/>
    </row>
    <row r="30" spans="1:24" x14ac:dyDescent="0.2">
      <c r="A30" s="52">
        <v>36991</v>
      </c>
      <c r="B30" s="53">
        <v>46076998.200000003</v>
      </c>
      <c r="C30" s="29">
        <v>387.2</v>
      </c>
      <c r="D30" s="29">
        <v>0</v>
      </c>
      <c r="E30" s="53">
        <v>30</v>
      </c>
      <c r="F30" s="53">
        <v>1</v>
      </c>
      <c r="G30" s="53">
        <v>0</v>
      </c>
      <c r="H30" s="53">
        <v>248.1</v>
      </c>
      <c r="I30" s="66">
        <v>9.5</v>
      </c>
      <c r="J30" s="53">
        <f t="shared" si="2"/>
        <v>45950451.869311325</v>
      </c>
      <c r="K30" s="6">
        <v>120.0185290319619</v>
      </c>
      <c r="L30" s="1">
        <f t="shared" si="4"/>
        <v>52830.748099999997</v>
      </c>
      <c r="M30" s="38">
        <v>319.68</v>
      </c>
      <c r="N30" s="1">
        <f t="shared" si="0"/>
        <v>-126546.33068867773</v>
      </c>
      <c r="O30" s="35">
        <f t="shared" si="1"/>
        <v>2.7464100447558608E-3</v>
      </c>
      <c r="P30" s="62" t="s">
        <v>14</v>
      </c>
      <c r="Q30" s="15">
        <f>Q7</f>
        <v>0.97799913813144368</v>
      </c>
      <c r="V30"/>
    </row>
    <row r="31" spans="1:24" x14ac:dyDescent="0.2">
      <c r="A31" s="52">
        <v>37024</v>
      </c>
      <c r="B31" s="53">
        <v>43199113.899999999</v>
      </c>
      <c r="C31" s="29">
        <v>155.5</v>
      </c>
      <c r="D31" s="29">
        <v>3.7</v>
      </c>
      <c r="E31" s="53">
        <v>31</v>
      </c>
      <c r="F31" s="53">
        <v>1</v>
      </c>
      <c r="G31" s="53">
        <v>0</v>
      </c>
      <c r="H31" s="53">
        <v>251.4</v>
      </c>
      <c r="I31" s="66">
        <v>9</v>
      </c>
      <c r="J31" s="53">
        <f t="shared" si="2"/>
        <v>41725501.876575783</v>
      </c>
      <c r="K31" s="6">
        <v>120.19708845528815</v>
      </c>
      <c r="L31" s="1">
        <f t="shared" si="4"/>
        <v>52850.664799999999</v>
      </c>
      <c r="M31" s="38">
        <v>351.91199999999998</v>
      </c>
      <c r="N31" s="1">
        <f t="shared" si="0"/>
        <v>-1473612.0234242156</v>
      </c>
      <c r="O31" s="35">
        <f t="shared" si="1"/>
        <v>3.4112089123758987E-2</v>
      </c>
      <c r="P31" s="62" t="s">
        <v>15</v>
      </c>
      <c r="Q31" s="15">
        <f>Q8</f>
        <v>0.97728559666543635</v>
      </c>
    </row>
    <row r="32" spans="1:24" x14ac:dyDescent="0.2">
      <c r="A32" s="52">
        <v>37057</v>
      </c>
      <c r="B32" s="53">
        <v>43534388.399999999</v>
      </c>
      <c r="C32" s="29">
        <v>59.5</v>
      </c>
      <c r="D32" s="29">
        <v>38.1</v>
      </c>
      <c r="E32" s="53">
        <v>30</v>
      </c>
      <c r="F32" s="53">
        <v>0</v>
      </c>
      <c r="G32" s="53">
        <v>0</v>
      </c>
      <c r="H32" s="53">
        <v>254.7</v>
      </c>
      <c r="I32" s="66">
        <v>8</v>
      </c>
      <c r="J32" s="53">
        <f t="shared" si="2"/>
        <v>42901406.583235517</v>
      </c>
      <c r="K32" s="6">
        <v>120.37591353315888</v>
      </c>
      <c r="L32" s="1">
        <f t="shared" si="4"/>
        <v>52870.5815</v>
      </c>
      <c r="M32" s="38">
        <v>336.24</v>
      </c>
      <c r="N32" s="1">
        <f t="shared" si="0"/>
        <v>-632981.81676448137</v>
      </c>
      <c r="O32" s="35">
        <f t="shared" si="1"/>
        <v>1.4539811859731591E-2</v>
      </c>
      <c r="P32" s="62" t="s">
        <v>33</v>
      </c>
      <c r="Q32" s="16">
        <f>T14</f>
        <v>1370.626914794507</v>
      </c>
    </row>
    <row r="33" spans="1:36" x14ac:dyDescent="0.2">
      <c r="A33" s="52">
        <v>37090</v>
      </c>
      <c r="B33" s="53">
        <v>42688389.599999994</v>
      </c>
      <c r="C33" s="29">
        <v>53.1</v>
      </c>
      <c r="D33" s="29">
        <v>62.5</v>
      </c>
      <c r="E33" s="53">
        <v>31</v>
      </c>
      <c r="F33" s="53">
        <v>0</v>
      </c>
      <c r="G33" s="53">
        <v>0</v>
      </c>
      <c r="H33" s="53">
        <v>257.3</v>
      </c>
      <c r="I33" s="66">
        <v>7.6</v>
      </c>
      <c r="J33" s="53">
        <f t="shared" si="2"/>
        <v>45967918.429835819</v>
      </c>
      <c r="K33" s="6">
        <v>120.55500466080574</v>
      </c>
      <c r="L33" s="1">
        <f t="shared" si="4"/>
        <v>52890.498200000002</v>
      </c>
      <c r="M33" s="38">
        <v>336.28800000000001</v>
      </c>
      <c r="N33" s="1">
        <f t="shared" si="0"/>
        <v>3279528.8298358247</v>
      </c>
      <c r="O33" s="35">
        <f t="shared" si="1"/>
        <v>7.6824843020918854E-2</v>
      </c>
      <c r="P33" s="62" t="s">
        <v>41</v>
      </c>
      <c r="Q33" s="15">
        <f>O195</f>
        <v>1.7295282365094308E-2</v>
      </c>
    </row>
    <row r="34" spans="1:36" x14ac:dyDescent="0.2">
      <c r="A34" s="52">
        <v>37123</v>
      </c>
      <c r="B34" s="53">
        <v>45403097</v>
      </c>
      <c r="C34" s="29">
        <v>17.899999999999999</v>
      </c>
      <c r="D34" s="29">
        <v>79</v>
      </c>
      <c r="E34" s="53">
        <v>31</v>
      </c>
      <c r="F34" s="53">
        <v>0</v>
      </c>
      <c r="G34" s="53">
        <v>0</v>
      </c>
      <c r="H34" s="53">
        <v>256.7</v>
      </c>
      <c r="I34" s="66">
        <v>8.1999999999999993</v>
      </c>
      <c r="J34" s="53">
        <f t="shared" si="2"/>
        <v>46397259.22429575</v>
      </c>
      <c r="K34" s="6">
        <v>120.7343622340484</v>
      </c>
      <c r="L34" s="1">
        <f t="shared" si="4"/>
        <v>52910.414900000003</v>
      </c>
      <c r="M34" s="38">
        <v>351.91199999999998</v>
      </c>
      <c r="N34" s="1">
        <f t="shared" si="0"/>
        <v>994162.22429575026</v>
      </c>
      <c r="O34" s="35">
        <f t="shared" si="1"/>
        <v>2.1896352671619521E-2</v>
      </c>
      <c r="P34" s="62" t="s">
        <v>47</v>
      </c>
      <c r="Q34" s="16"/>
    </row>
    <row r="35" spans="1:36" x14ac:dyDescent="0.2">
      <c r="A35" s="52">
        <v>37156</v>
      </c>
      <c r="B35" s="53">
        <v>42491205.600000001</v>
      </c>
      <c r="C35" s="29">
        <v>161.19999999999999</v>
      </c>
      <c r="D35" s="29">
        <v>11.8</v>
      </c>
      <c r="E35" s="53">
        <v>30</v>
      </c>
      <c r="F35" s="53">
        <v>1</v>
      </c>
      <c r="G35" s="53">
        <v>0</v>
      </c>
      <c r="H35" s="53">
        <v>253.4</v>
      </c>
      <c r="I35" s="66">
        <v>8.1999999999999993</v>
      </c>
      <c r="J35" s="53">
        <f t="shared" si="2"/>
        <v>41460672.413506843</v>
      </c>
      <c r="K35" s="6">
        <v>120.91398664929544</v>
      </c>
      <c r="L35" s="1">
        <f t="shared" si="4"/>
        <v>52930.331600000005</v>
      </c>
      <c r="M35" s="38">
        <v>303.83999999999997</v>
      </c>
      <c r="N35" s="1">
        <f t="shared" ref="N35:N66" si="5">J35-B35</f>
        <v>-1030533.1864931583</v>
      </c>
      <c r="O35" s="35">
        <f t="shared" ref="O35:O66" si="6">ABS(N35/B35)</f>
        <v>2.4252858254818693E-2</v>
      </c>
      <c r="P35" s="17" t="str">
        <f>P20</f>
        <v>Heating Degree Days</v>
      </c>
      <c r="Q35" s="64">
        <f>Q20</f>
        <v>25052.612360881729</v>
      </c>
    </row>
    <row r="36" spans="1:36" x14ac:dyDescent="0.2">
      <c r="A36" s="52">
        <v>37189</v>
      </c>
      <c r="B36" s="53">
        <v>47325120</v>
      </c>
      <c r="C36" s="29">
        <v>341.5</v>
      </c>
      <c r="D36" s="29">
        <v>0</v>
      </c>
      <c r="E36" s="53">
        <v>31</v>
      </c>
      <c r="F36" s="53">
        <v>1</v>
      </c>
      <c r="G36" s="53">
        <v>0</v>
      </c>
      <c r="H36" s="53">
        <v>251.6</v>
      </c>
      <c r="I36" s="66">
        <v>7.8</v>
      </c>
      <c r="J36" s="53">
        <f t="shared" si="2"/>
        <v>46093940.849907726</v>
      </c>
      <c r="K36" s="6">
        <v>121.09387830354515</v>
      </c>
      <c r="L36" s="1">
        <f t="shared" si="4"/>
        <v>52950.248300000007</v>
      </c>
      <c r="M36" s="38">
        <v>351.91199999999998</v>
      </c>
      <c r="N36" s="1">
        <f t="shared" si="5"/>
        <v>-1231179.150092274</v>
      </c>
      <c r="O36" s="35">
        <f t="shared" si="6"/>
        <v>2.6015341325965446E-2</v>
      </c>
      <c r="P36" s="17" t="str">
        <f t="shared" ref="P36:Q40" si="7">P21</f>
        <v>Cooling Degree Days</v>
      </c>
      <c r="Q36" s="64">
        <f t="shared" si="7"/>
        <v>80954.068923480881</v>
      </c>
    </row>
    <row r="37" spans="1:36" x14ac:dyDescent="0.2">
      <c r="A37" s="52">
        <v>37222</v>
      </c>
      <c r="B37" s="53">
        <v>49866264.600000001</v>
      </c>
      <c r="C37" s="29">
        <v>457.5</v>
      </c>
      <c r="D37" s="29">
        <v>0</v>
      </c>
      <c r="E37" s="53">
        <v>30</v>
      </c>
      <c r="F37" s="53">
        <v>1</v>
      </c>
      <c r="G37" s="53">
        <v>0</v>
      </c>
      <c r="H37" s="53">
        <v>249.5</v>
      </c>
      <c r="I37" s="66">
        <v>7.1</v>
      </c>
      <c r="J37" s="53">
        <f t="shared" si="2"/>
        <v>47768932.422855049</v>
      </c>
      <c r="K37" s="6">
        <v>121.27403759438651</v>
      </c>
      <c r="L37" s="1">
        <f t="shared" si="4"/>
        <v>52970.165000000008</v>
      </c>
      <c r="M37" s="38">
        <v>352.08</v>
      </c>
      <c r="N37" s="1">
        <f t="shared" si="5"/>
        <v>-2097332.1771449521</v>
      </c>
      <c r="O37" s="35">
        <f t="shared" si="6"/>
        <v>4.2059139459684973E-2</v>
      </c>
      <c r="P37" s="17" t="str">
        <f t="shared" si="7"/>
        <v>Number of Days in Month</v>
      </c>
      <c r="Q37" s="64">
        <f t="shared" si="7"/>
        <v>1145188.6040543488</v>
      </c>
    </row>
    <row r="38" spans="1:36" x14ac:dyDescent="0.2">
      <c r="A38" s="52">
        <v>37255</v>
      </c>
      <c r="B38" s="53">
        <v>54707252.299999997</v>
      </c>
      <c r="C38" s="29">
        <v>656.1</v>
      </c>
      <c r="D38" s="29">
        <v>0</v>
      </c>
      <c r="E38" s="53">
        <v>31</v>
      </c>
      <c r="F38" s="53">
        <v>0</v>
      </c>
      <c r="G38" s="53">
        <v>0</v>
      </c>
      <c r="H38" s="53">
        <v>247</v>
      </c>
      <c r="I38" s="66">
        <v>7.4</v>
      </c>
      <c r="J38" s="53">
        <f t="shared" si="2"/>
        <v>55593583.220651731</v>
      </c>
      <c r="K38" s="6">
        <v>121.45446492000001</v>
      </c>
      <c r="L38" s="1">
        <f t="shared" si="4"/>
        <v>52990.08170000001</v>
      </c>
      <c r="M38" s="38">
        <v>304.29599999999999</v>
      </c>
      <c r="N38" s="1">
        <f t="shared" si="5"/>
        <v>886330.92065173388</v>
      </c>
      <c r="O38" s="35">
        <f t="shared" si="6"/>
        <v>1.6201342297202777E-2</v>
      </c>
      <c r="P38" s="17" t="str">
        <f t="shared" si="7"/>
        <v>Spring Fall Flag</v>
      </c>
      <c r="Q38" s="64">
        <f t="shared" si="7"/>
        <v>-1806302.4941814637</v>
      </c>
    </row>
    <row r="39" spans="1:36" s="23" customFormat="1" x14ac:dyDescent="0.2">
      <c r="A39" s="43">
        <v>37275</v>
      </c>
      <c r="B39" s="53">
        <v>59190699.900000006</v>
      </c>
      <c r="C39" s="29">
        <v>799.5</v>
      </c>
      <c r="D39" s="29">
        <v>0</v>
      </c>
      <c r="E39" s="53">
        <v>31</v>
      </c>
      <c r="F39" s="53">
        <v>0</v>
      </c>
      <c r="G39" s="53">
        <v>0</v>
      </c>
      <c r="H39" s="53">
        <v>241.3</v>
      </c>
      <c r="I39" s="66">
        <v>8.4</v>
      </c>
      <c r="J39" s="53">
        <f t="shared" si="2"/>
        <v>58952908.650294811</v>
      </c>
      <c r="K39" s="6">
        <v>121.76385066248655</v>
      </c>
      <c r="L39" s="1">
        <f t="shared" si="4"/>
        <v>53009.998400000011</v>
      </c>
      <c r="M39" s="38">
        <v>351.91199999999998</v>
      </c>
      <c r="N39" s="1">
        <f t="shared" si="5"/>
        <v>-237791.24970519543</v>
      </c>
      <c r="O39" s="35">
        <f t="shared" si="6"/>
        <v>4.0173751975721341E-3</v>
      </c>
      <c r="P39" s="17" t="str">
        <f t="shared" si="7"/>
        <v>North Bay  Economy</v>
      </c>
      <c r="Q39" s="64">
        <f t="shared" si="7"/>
        <v>-2105877.6961238068</v>
      </c>
      <c r="R39" s="4"/>
      <c r="S39" s="4"/>
      <c r="T39" s="4"/>
      <c r="U39" s="4"/>
      <c r="V39" s="4"/>
      <c r="W39"/>
      <c r="X39"/>
      <c r="Y39" s="4"/>
      <c r="Z39" s="4"/>
      <c r="AA39" s="4"/>
      <c r="AB39" s="22"/>
      <c r="AC39" s="22"/>
      <c r="AD39" s="22"/>
      <c r="AE39" s="22"/>
      <c r="AF39" s="22"/>
      <c r="AG39" s="22"/>
      <c r="AH39" s="22"/>
      <c r="AI39" s="22"/>
      <c r="AJ39" s="22"/>
    </row>
    <row r="40" spans="1:36" x14ac:dyDescent="0.2">
      <c r="A40" s="52">
        <v>37308</v>
      </c>
      <c r="B40" s="53">
        <v>54122186.700000003</v>
      </c>
      <c r="C40" s="29">
        <v>770.7</v>
      </c>
      <c r="D40" s="29">
        <v>0</v>
      </c>
      <c r="E40" s="53">
        <v>28</v>
      </c>
      <c r="F40" s="53">
        <v>0</v>
      </c>
      <c r="G40" s="53">
        <v>0</v>
      </c>
      <c r="H40" s="53">
        <v>235.9</v>
      </c>
      <c r="I40" s="66">
        <v>9.6999999999999993</v>
      </c>
      <c r="J40" s="53">
        <f t="shared" si="2"/>
        <v>54574883.113068245</v>
      </c>
      <c r="K40" s="6">
        <v>122.07402451546137</v>
      </c>
      <c r="L40" s="1">
        <f t="shared" si="4"/>
        <v>53029.915100000013</v>
      </c>
      <c r="M40" s="38">
        <v>319.87200000000001</v>
      </c>
      <c r="N40" s="1">
        <f t="shared" si="5"/>
        <v>452696.41306824237</v>
      </c>
      <c r="O40" s="35">
        <f t="shared" si="6"/>
        <v>8.3643407753929925E-3</v>
      </c>
      <c r="P40" s="17" t="str">
        <f t="shared" si="7"/>
        <v xml:space="preserve">Northeastern Employment </v>
      </c>
      <c r="Q40" s="64">
        <f t="shared" si="7"/>
        <v>40915.646124097977</v>
      </c>
    </row>
    <row r="41" spans="1:36" x14ac:dyDescent="0.2">
      <c r="A41" s="52">
        <v>37341</v>
      </c>
      <c r="B41" s="53">
        <v>56174150.400000006</v>
      </c>
      <c r="C41" s="29">
        <v>756.4</v>
      </c>
      <c r="D41" s="29">
        <v>0</v>
      </c>
      <c r="E41" s="53">
        <v>31</v>
      </c>
      <c r="F41" s="53">
        <v>1</v>
      </c>
      <c r="G41" s="53">
        <v>0</v>
      </c>
      <c r="H41" s="53">
        <v>233</v>
      </c>
      <c r="I41" s="66">
        <v>10.7</v>
      </c>
      <c r="J41" s="53">
        <f t="shared" si="2"/>
        <v>55727238.700529337</v>
      </c>
      <c r="K41" s="6">
        <v>122.3849884865094</v>
      </c>
      <c r="L41" s="1">
        <f t="shared" si="4"/>
        <v>53049.831800000014</v>
      </c>
      <c r="M41" s="38">
        <v>319.92</v>
      </c>
      <c r="N41" s="1">
        <f t="shared" si="5"/>
        <v>-446911.69947066903</v>
      </c>
      <c r="O41" s="35">
        <f t="shared" si="6"/>
        <v>7.955824810670727E-3</v>
      </c>
      <c r="P41" s="17" t="s">
        <v>42</v>
      </c>
      <c r="Q41" s="64">
        <f>Q19</f>
        <v>-6450447.067659785</v>
      </c>
    </row>
    <row r="42" spans="1:36" x14ac:dyDescent="0.2">
      <c r="A42" s="52">
        <v>37374</v>
      </c>
      <c r="B42" s="53">
        <v>46696819.100000001</v>
      </c>
      <c r="C42" s="29">
        <v>443.6</v>
      </c>
      <c r="D42" s="29">
        <v>0.5</v>
      </c>
      <c r="E42" s="53">
        <v>30</v>
      </c>
      <c r="F42" s="53">
        <v>1</v>
      </c>
      <c r="G42" s="53">
        <v>0</v>
      </c>
      <c r="H42" s="53">
        <v>235.3</v>
      </c>
      <c r="I42" s="66">
        <v>11</v>
      </c>
      <c r="J42" s="53">
        <f t="shared" si="2"/>
        <v>46880175.970538341</v>
      </c>
      <c r="K42" s="6">
        <v>122.69674458832949</v>
      </c>
      <c r="L42" s="1">
        <f t="shared" si="4"/>
        <v>53069.748500000016</v>
      </c>
      <c r="M42" s="38">
        <v>352.08</v>
      </c>
      <c r="N42" s="1">
        <f t="shared" si="5"/>
        <v>183356.87053833902</v>
      </c>
      <c r="O42" s="35">
        <f t="shared" si="6"/>
        <v>3.9265387679979901E-3</v>
      </c>
      <c r="P42" s="62" t="s">
        <v>34</v>
      </c>
      <c r="Q42" s="16"/>
    </row>
    <row r="43" spans="1:36" x14ac:dyDescent="0.2">
      <c r="A43" s="52">
        <v>37407</v>
      </c>
      <c r="B43" s="53">
        <v>45039769.999999993</v>
      </c>
      <c r="C43" s="29">
        <v>304</v>
      </c>
      <c r="D43" s="29">
        <v>0.8</v>
      </c>
      <c r="E43" s="53">
        <v>31</v>
      </c>
      <c r="F43" s="53">
        <v>1</v>
      </c>
      <c r="G43" s="53">
        <v>0</v>
      </c>
      <c r="H43" s="53">
        <v>243.8</v>
      </c>
      <c r="I43" s="66">
        <v>10.8</v>
      </c>
      <c r="J43" s="53">
        <f t="shared" si="2"/>
        <v>44900089.101745486</v>
      </c>
      <c r="K43" s="6">
        <v>123.00929483874758</v>
      </c>
      <c r="L43" s="1">
        <f t="shared" si="4"/>
        <v>53089.665200000018</v>
      </c>
      <c r="M43" s="38">
        <v>351.91199999999998</v>
      </c>
      <c r="N43" s="1">
        <f t="shared" si="5"/>
        <v>-139680.89825450629</v>
      </c>
      <c r="O43" s="35">
        <f t="shared" si="6"/>
        <v>3.101279119642625E-3</v>
      </c>
      <c r="P43" s="17" t="str">
        <f>P35</f>
        <v>Heating Degree Days</v>
      </c>
      <c r="Q43" s="65">
        <f>S20</f>
        <v>64.664690881760109</v>
      </c>
    </row>
    <row r="44" spans="1:36" x14ac:dyDescent="0.2">
      <c r="A44" s="52">
        <v>37408</v>
      </c>
      <c r="B44" s="53">
        <v>42372405</v>
      </c>
      <c r="C44" s="29">
        <v>83.6</v>
      </c>
      <c r="D44" s="29">
        <v>34.1</v>
      </c>
      <c r="E44" s="53">
        <v>30</v>
      </c>
      <c r="F44" s="53">
        <v>0</v>
      </c>
      <c r="G44" s="53">
        <v>0</v>
      </c>
      <c r="H44" s="53">
        <v>253.9</v>
      </c>
      <c r="I44" s="66">
        <v>9.8000000000000007</v>
      </c>
      <c r="J44" s="53">
        <f t="shared" si="2"/>
        <v>43148625.748539567</v>
      </c>
      <c r="K44" s="6">
        <v>123.32264126072967</v>
      </c>
      <c r="L44" s="1">
        <f t="shared" si="4"/>
        <v>53109.581900000019</v>
      </c>
      <c r="M44" s="38">
        <v>319.68</v>
      </c>
      <c r="N44" s="1">
        <f t="shared" si="5"/>
        <v>776220.74853956699</v>
      </c>
      <c r="O44" s="35">
        <f t="shared" si="6"/>
        <v>1.8319015607907246E-2</v>
      </c>
      <c r="P44" s="17" t="str">
        <f t="shared" ref="P44:P49" si="8">P36</f>
        <v>Cooling Degree Days</v>
      </c>
      <c r="Q44" s="65">
        <f t="shared" ref="Q44:Q48" si="9">S21</f>
        <v>13.454786634787146</v>
      </c>
    </row>
    <row r="45" spans="1:36" x14ac:dyDescent="0.2">
      <c r="A45" s="52">
        <v>37440</v>
      </c>
      <c r="B45" s="53">
        <v>45838809</v>
      </c>
      <c r="C45" s="29">
        <v>18.2</v>
      </c>
      <c r="D45" s="29">
        <v>74.099999999999994</v>
      </c>
      <c r="E45" s="53">
        <v>31</v>
      </c>
      <c r="F45" s="53">
        <v>0</v>
      </c>
      <c r="G45" s="53">
        <v>0</v>
      </c>
      <c r="H45" s="53">
        <v>263.8</v>
      </c>
      <c r="I45" s="66">
        <v>8.6999999999999993</v>
      </c>
      <c r="J45" s="53">
        <f t="shared" si="2"/>
        <v>46298601.157760054</v>
      </c>
      <c r="K45" s="6">
        <v>123.63678588239495</v>
      </c>
      <c r="L45" s="1">
        <f t="shared" si="4"/>
        <v>53129.498600000021</v>
      </c>
      <c r="M45" s="38">
        <v>351.91199999999998</v>
      </c>
      <c r="N45" s="1">
        <f t="shared" si="5"/>
        <v>459792.15776005387</v>
      </c>
      <c r="O45" s="35">
        <f t="shared" si="6"/>
        <v>1.0030630546270385E-2</v>
      </c>
      <c r="P45" s="17" t="str">
        <f t="shared" si="8"/>
        <v>Number of Days in Month</v>
      </c>
      <c r="Q45" s="65">
        <f t="shared" si="9"/>
        <v>11.436171854569363</v>
      </c>
    </row>
    <row r="46" spans="1:36" x14ac:dyDescent="0.2">
      <c r="A46" s="52">
        <v>37473</v>
      </c>
      <c r="B46" s="53">
        <v>45311412</v>
      </c>
      <c r="C46" s="29">
        <v>22</v>
      </c>
      <c r="D46" s="29">
        <v>62.6</v>
      </c>
      <c r="E46" s="53">
        <v>31</v>
      </c>
      <c r="F46" s="53">
        <v>0</v>
      </c>
      <c r="G46" s="53">
        <v>0</v>
      </c>
      <c r="H46" s="53">
        <v>268.5</v>
      </c>
      <c r="I46" s="66">
        <v>8.1</v>
      </c>
      <c r="J46" s="53">
        <f t="shared" si="2"/>
        <v>45655132.828894638</v>
      </c>
      <c r="K46" s="6">
        <v>123.9517307370289</v>
      </c>
      <c r="L46" s="1">
        <f t="shared" si="4"/>
        <v>53149.415300000022</v>
      </c>
      <c r="M46" s="38">
        <v>336.28800000000001</v>
      </c>
      <c r="N46" s="1">
        <f t="shared" si="5"/>
        <v>343720.82889463753</v>
      </c>
      <c r="O46" s="35">
        <f t="shared" si="6"/>
        <v>7.5857452620244434E-3</v>
      </c>
      <c r="P46" s="17" t="str">
        <f t="shared" si="8"/>
        <v>Spring Fall Flag</v>
      </c>
      <c r="Q46" s="65">
        <f t="shared" si="9"/>
        <v>-8.7836281890619166</v>
      </c>
    </row>
    <row r="47" spans="1:36" x14ac:dyDescent="0.2">
      <c r="A47" s="52">
        <v>37506</v>
      </c>
      <c r="B47" s="53">
        <v>42710904</v>
      </c>
      <c r="C47" s="29">
        <v>89.1</v>
      </c>
      <c r="D47" s="29">
        <v>30.2</v>
      </c>
      <c r="E47" s="53">
        <v>30</v>
      </c>
      <c r="F47" s="53">
        <v>1</v>
      </c>
      <c r="G47" s="53">
        <v>0</v>
      </c>
      <c r="H47" s="53">
        <v>266.39999999999998</v>
      </c>
      <c r="I47" s="66">
        <v>7.9</v>
      </c>
      <c r="J47" s="53">
        <f t="shared" si="2"/>
        <v>41675837.330092594</v>
      </c>
      <c r="K47" s="6">
        <v>124.26747786309649</v>
      </c>
      <c r="L47" s="1">
        <f t="shared" si="4"/>
        <v>53169.332000000024</v>
      </c>
      <c r="M47" s="38">
        <v>319.68</v>
      </c>
      <c r="N47" s="1">
        <f t="shared" si="5"/>
        <v>-1035066.669907406</v>
      </c>
      <c r="O47" s="35">
        <f t="shared" si="6"/>
        <v>2.4234248703970441E-2</v>
      </c>
      <c r="P47" s="17" t="str">
        <f t="shared" si="8"/>
        <v>North Bay  Economy</v>
      </c>
      <c r="Q47" s="65">
        <f t="shared" si="9"/>
        <v>-10.576827225850595</v>
      </c>
    </row>
    <row r="48" spans="1:36" x14ac:dyDescent="0.2">
      <c r="A48" s="52">
        <v>37539</v>
      </c>
      <c r="B48" s="53">
        <v>46917981</v>
      </c>
      <c r="C48" s="29">
        <v>438.3</v>
      </c>
      <c r="D48" s="29">
        <v>2.2000000000000002</v>
      </c>
      <c r="E48" s="53">
        <v>31</v>
      </c>
      <c r="F48" s="53">
        <v>1</v>
      </c>
      <c r="G48" s="53">
        <v>0</v>
      </c>
      <c r="H48" s="53">
        <v>261.7</v>
      </c>
      <c r="I48" s="66">
        <v>7.7</v>
      </c>
      <c r="J48" s="53">
        <f t="shared" si="2"/>
        <v>49110380.703926131</v>
      </c>
      <c r="K48" s="6">
        <v>124.58402930425534</v>
      </c>
      <c r="L48" s="1">
        <f t="shared" si="4"/>
        <v>53189.248700000026</v>
      </c>
      <c r="M48" s="38">
        <v>351.91199999999998</v>
      </c>
      <c r="N48" s="1">
        <f t="shared" si="5"/>
        <v>2192399.7039261311</v>
      </c>
      <c r="O48" s="35">
        <f t="shared" si="6"/>
        <v>4.6728347153858374E-2</v>
      </c>
      <c r="P48" s="17" t="str">
        <f t="shared" si="8"/>
        <v xml:space="preserve">Northeastern Employment </v>
      </c>
      <c r="Q48" s="65">
        <f t="shared" si="9"/>
        <v>3.3324293300318679</v>
      </c>
    </row>
    <row r="49" spans="1:33" x14ac:dyDescent="0.2">
      <c r="A49" s="52">
        <v>37572</v>
      </c>
      <c r="B49" s="53">
        <v>51516609</v>
      </c>
      <c r="C49" s="29">
        <v>627.70000000000005</v>
      </c>
      <c r="D49" s="29">
        <v>0</v>
      </c>
      <c r="E49" s="53">
        <v>30</v>
      </c>
      <c r="F49" s="53">
        <v>1</v>
      </c>
      <c r="G49" s="53">
        <v>0</v>
      </c>
      <c r="H49" s="53">
        <v>255.1</v>
      </c>
      <c r="I49" s="66">
        <v>7.4</v>
      </c>
      <c r="J49" s="53">
        <f t="shared" si="2"/>
        <v>52262014.664972067</v>
      </c>
      <c r="K49" s="6">
        <v>124.90138710936897</v>
      </c>
      <c r="L49" s="1">
        <f t="shared" si="4"/>
        <v>53209.165400000027</v>
      </c>
      <c r="M49" s="38">
        <v>336.24</v>
      </c>
      <c r="N49" s="1">
        <f t="shared" si="5"/>
        <v>745405.66497206688</v>
      </c>
      <c r="O49" s="35">
        <f t="shared" si="6"/>
        <v>1.4469230010307295E-2</v>
      </c>
      <c r="P49" s="17" t="str">
        <f t="shared" si="8"/>
        <v>Constant</v>
      </c>
      <c r="Q49" s="65">
        <f>S19</f>
        <v>-1.5519127957815351</v>
      </c>
    </row>
    <row r="50" spans="1:33" x14ac:dyDescent="0.2">
      <c r="A50" s="52">
        <v>37605</v>
      </c>
      <c r="B50" s="53">
        <v>57947130</v>
      </c>
      <c r="C50" s="29">
        <v>771.5</v>
      </c>
      <c r="D50" s="29">
        <v>0</v>
      </c>
      <c r="E50" s="53">
        <v>31</v>
      </c>
      <c r="F50" s="53">
        <v>0</v>
      </c>
      <c r="G50" s="53">
        <v>0</v>
      </c>
      <c r="H50" s="53">
        <v>253.7</v>
      </c>
      <c r="I50" s="66">
        <v>7.6</v>
      </c>
      <c r="J50" s="53">
        <f t="shared" si="2"/>
        <v>58758789.516128942</v>
      </c>
      <c r="K50" s="6">
        <v>125.21955333251999</v>
      </c>
      <c r="L50" s="1">
        <f t="shared" si="4"/>
        <v>53229.082100000029</v>
      </c>
      <c r="M50" s="38">
        <v>319.92</v>
      </c>
      <c r="N50" s="1">
        <f t="shared" si="5"/>
        <v>811659.51612894237</v>
      </c>
      <c r="O50" s="35">
        <f t="shared" si="6"/>
        <v>1.4006897600087224E-2</v>
      </c>
      <c r="P50" s="21"/>
    </row>
    <row r="51" spans="1:33" x14ac:dyDescent="0.2">
      <c r="A51" s="52">
        <v>37622</v>
      </c>
      <c r="B51" s="53">
        <v>65599527</v>
      </c>
      <c r="C51" s="29">
        <v>1040.4000000000001</v>
      </c>
      <c r="D51" s="29">
        <v>0</v>
      </c>
      <c r="E51" s="53">
        <v>31</v>
      </c>
      <c r="F51" s="53">
        <v>0</v>
      </c>
      <c r="G51" s="53">
        <v>0</v>
      </c>
      <c r="H51" s="53">
        <v>250.3</v>
      </c>
      <c r="I51" s="66">
        <v>7.9</v>
      </c>
      <c r="J51" s="53">
        <f t="shared" si="2"/>
        <v>65356323.78314811</v>
      </c>
      <c r="K51" s="6">
        <v>125.36471370384297</v>
      </c>
      <c r="L51" s="1">
        <f t="shared" si="4"/>
        <v>53248.99880000003</v>
      </c>
      <c r="M51" s="38">
        <v>351.91199999999998</v>
      </c>
      <c r="N51" s="1">
        <f t="shared" si="5"/>
        <v>-243203.21685189009</v>
      </c>
      <c r="O51" s="35">
        <f t="shared" si="6"/>
        <v>3.7073928422058605E-3</v>
      </c>
      <c r="P51" s="21"/>
      <c r="AB51" s="22"/>
      <c r="AC51" s="22"/>
      <c r="AD51" s="22"/>
    </row>
    <row r="52" spans="1:33" x14ac:dyDescent="0.2">
      <c r="A52" s="52">
        <v>37653</v>
      </c>
      <c r="B52" s="53">
        <v>58805484</v>
      </c>
      <c r="C52" s="29">
        <v>908.9</v>
      </c>
      <c r="D52" s="29">
        <v>0</v>
      </c>
      <c r="E52" s="53">
        <v>28</v>
      </c>
      <c r="F52" s="53">
        <v>0</v>
      </c>
      <c r="G52" s="53">
        <v>0</v>
      </c>
      <c r="H52" s="53">
        <v>248.8</v>
      </c>
      <c r="I52" s="66">
        <v>8.6</v>
      </c>
      <c r="J52" s="53">
        <f t="shared" si="2"/>
        <v>58564965.976342961</v>
      </c>
      <c r="K52" s="6">
        <v>125.51004235186747</v>
      </c>
      <c r="L52" s="1">
        <f t="shared" si="4"/>
        <v>53268.915500000032</v>
      </c>
      <c r="M52" s="38">
        <v>319.87200000000001</v>
      </c>
      <c r="N52" s="1">
        <f t="shared" si="5"/>
        <v>-240518.02365703881</v>
      </c>
      <c r="O52" s="35">
        <f t="shared" si="6"/>
        <v>4.0900611183990734E-3</v>
      </c>
      <c r="P52" s="21"/>
    </row>
    <row r="53" spans="1:33" x14ac:dyDescent="0.2">
      <c r="A53" s="52">
        <v>37681</v>
      </c>
      <c r="B53" s="53">
        <v>56511633</v>
      </c>
      <c r="C53" s="29">
        <v>732.2</v>
      </c>
      <c r="D53" s="29">
        <v>0</v>
      </c>
      <c r="E53" s="53">
        <v>31</v>
      </c>
      <c r="F53" s="53">
        <v>1</v>
      </c>
      <c r="G53" s="53">
        <v>0</v>
      </c>
      <c r="H53" s="53">
        <v>249.9</v>
      </c>
      <c r="I53" s="66">
        <v>8.4</v>
      </c>
      <c r="J53" s="53">
        <f t="shared" si="2"/>
        <v>55812439.900893249</v>
      </c>
      <c r="K53" s="6">
        <v>125.65553947166775</v>
      </c>
      <c r="L53" s="1">
        <f t="shared" si="4"/>
        <v>53288.832200000033</v>
      </c>
      <c r="M53" s="38">
        <v>336.28800000000001</v>
      </c>
      <c r="N53" s="1">
        <f t="shared" si="5"/>
        <v>-699193.09910675138</v>
      </c>
      <c r="O53" s="35">
        <f t="shared" si="6"/>
        <v>1.2372551667490328E-2</v>
      </c>
      <c r="P53" s="21"/>
    </row>
    <row r="54" spans="1:33" x14ac:dyDescent="0.2">
      <c r="A54" s="52">
        <v>37712</v>
      </c>
      <c r="B54" s="53">
        <v>48410985</v>
      </c>
      <c r="C54" s="29">
        <v>513.9</v>
      </c>
      <c r="D54" s="29">
        <v>0</v>
      </c>
      <c r="E54" s="53">
        <v>30</v>
      </c>
      <c r="F54" s="53">
        <v>1</v>
      </c>
      <c r="G54" s="53">
        <v>0</v>
      </c>
      <c r="H54" s="53">
        <v>251.4</v>
      </c>
      <c r="I54" s="66">
        <v>8.1999999999999993</v>
      </c>
      <c r="J54" s="53">
        <f t="shared" si="2"/>
        <v>49259639.487644568</v>
      </c>
      <c r="K54" s="6">
        <v>125.80120525854417</v>
      </c>
      <c r="L54" s="1">
        <f t="shared" si="4"/>
        <v>53308.748900000035</v>
      </c>
      <c r="M54" s="38">
        <v>336.24</v>
      </c>
      <c r="N54" s="1">
        <f t="shared" si="5"/>
        <v>848654.48764456809</v>
      </c>
      <c r="O54" s="35">
        <f t="shared" si="6"/>
        <v>1.7530204924451922E-2</v>
      </c>
      <c r="P54" s="21"/>
    </row>
    <row r="55" spans="1:33" x14ac:dyDescent="0.2">
      <c r="A55" s="52">
        <v>37742</v>
      </c>
      <c r="B55" s="53">
        <v>42511005</v>
      </c>
      <c r="C55" s="29">
        <v>208.3</v>
      </c>
      <c r="D55" s="29">
        <v>0.7</v>
      </c>
      <c r="E55" s="53">
        <v>31</v>
      </c>
      <c r="F55" s="53">
        <v>1</v>
      </c>
      <c r="G55" s="53">
        <v>0</v>
      </c>
      <c r="H55" s="53">
        <v>255.5</v>
      </c>
      <c r="I55" s="66">
        <v>8</v>
      </c>
      <c r="J55" s="53">
        <f t="shared" si="2"/>
        <v>42973171.751568697</v>
      </c>
      <c r="K55" s="6">
        <v>125.94703990802351</v>
      </c>
      <c r="L55" s="1">
        <f t="shared" si="4"/>
        <v>53328.665600000037</v>
      </c>
      <c r="M55" s="38">
        <v>336.28800000000001</v>
      </c>
      <c r="N55" s="1">
        <f t="shared" si="5"/>
        <v>462166.75156869739</v>
      </c>
      <c r="O55" s="35">
        <f t="shared" si="6"/>
        <v>1.0871696671690011E-2</v>
      </c>
      <c r="P55" s="21"/>
    </row>
    <row r="56" spans="1:33" x14ac:dyDescent="0.2">
      <c r="A56" s="52">
        <v>37773</v>
      </c>
      <c r="B56" s="53">
        <v>41668530</v>
      </c>
      <c r="C56" s="29">
        <v>64.5</v>
      </c>
      <c r="D56" s="29">
        <v>27.4</v>
      </c>
      <c r="E56" s="53">
        <v>30</v>
      </c>
      <c r="F56" s="53">
        <v>0</v>
      </c>
      <c r="G56" s="53">
        <v>0</v>
      </c>
      <c r="H56" s="53">
        <v>258.10000000000002</v>
      </c>
      <c r="I56" s="66">
        <v>7.8</v>
      </c>
      <c r="J56" s="53">
        <f t="shared" si="2"/>
        <v>42299574.304380611</v>
      </c>
      <c r="K56" s="6">
        <v>126.0930436158592</v>
      </c>
      <c r="L56" s="1">
        <f t="shared" si="4"/>
        <v>53348.582300000038</v>
      </c>
      <c r="M56" s="38">
        <v>336.24</v>
      </c>
      <c r="N56" s="1">
        <f t="shared" si="5"/>
        <v>631044.30438061059</v>
      </c>
      <c r="O56" s="35">
        <f t="shared" si="6"/>
        <v>1.5144386048190579E-2</v>
      </c>
    </row>
    <row r="57" spans="1:33" x14ac:dyDescent="0.2">
      <c r="A57" s="52">
        <v>37803</v>
      </c>
      <c r="B57" s="53">
        <v>44043534</v>
      </c>
      <c r="C57" s="29">
        <v>16.100000000000001</v>
      </c>
      <c r="D57" s="29">
        <v>37.4</v>
      </c>
      <c r="E57" s="53">
        <v>31</v>
      </c>
      <c r="F57" s="53">
        <v>0</v>
      </c>
      <c r="G57" s="53">
        <v>0</v>
      </c>
      <c r="H57" s="53">
        <v>259.2</v>
      </c>
      <c r="I57" s="66">
        <v>8.1999999999999993</v>
      </c>
      <c r="J57" s="53">
        <f t="shared" si="2"/>
        <v>43086764.370139606</v>
      </c>
      <c r="K57" s="6">
        <v>126.23921657803162</v>
      </c>
      <c r="L57" s="1">
        <f t="shared" si="4"/>
        <v>53368.49900000004</v>
      </c>
      <c r="M57" s="38">
        <v>351.91199999999998</v>
      </c>
      <c r="N57" s="1">
        <f t="shared" si="5"/>
        <v>-956769.6298603937</v>
      </c>
      <c r="O57" s="35">
        <f t="shared" si="6"/>
        <v>2.1723271113085377E-2</v>
      </c>
    </row>
    <row r="58" spans="1:33" x14ac:dyDescent="0.2">
      <c r="A58" s="52">
        <v>37834</v>
      </c>
      <c r="B58" s="53">
        <v>42064341</v>
      </c>
      <c r="C58" s="29">
        <v>32.9</v>
      </c>
      <c r="D58" s="29">
        <v>60.7</v>
      </c>
      <c r="E58" s="53">
        <v>31</v>
      </c>
      <c r="F58" s="53">
        <v>0</v>
      </c>
      <c r="G58" s="53">
        <v>1</v>
      </c>
      <c r="H58" s="53">
        <v>258.2</v>
      </c>
      <c r="I58" s="66">
        <v>8.5</v>
      </c>
      <c r="J58" s="53">
        <f t="shared" si="2"/>
        <v>43247084.721471615</v>
      </c>
      <c r="K58" s="6">
        <v>126.38555899074831</v>
      </c>
      <c r="L58" s="1">
        <f t="shared" si="4"/>
        <v>53388.415700000041</v>
      </c>
      <c r="M58" s="38">
        <v>319.92</v>
      </c>
      <c r="N58" s="1">
        <f t="shared" si="5"/>
        <v>1182743.7214716151</v>
      </c>
      <c r="O58" s="35">
        <f t="shared" si="6"/>
        <v>2.8117490809415394E-2</v>
      </c>
    </row>
    <row r="59" spans="1:33" x14ac:dyDescent="0.2">
      <c r="A59" s="52">
        <v>37865</v>
      </c>
      <c r="B59" s="53">
        <v>41000127</v>
      </c>
      <c r="C59" s="29">
        <v>111.8</v>
      </c>
      <c r="D59" s="29">
        <v>9.1</v>
      </c>
      <c r="E59" s="53">
        <v>30</v>
      </c>
      <c r="F59" s="53">
        <v>1</v>
      </c>
      <c r="G59" s="53">
        <v>0</v>
      </c>
      <c r="H59" s="53">
        <v>254.5</v>
      </c>
      <c r="I59" s="66">
        <v>8.6999999999999993</v>
      </c>
      <c r="J59" s="53">
        <f t="shared" si="2"/>
        <v>40049504.587522402</v>
      </c>
      <c r="K59" s="6">
        <v>126.53207105044429</v>
      </c>
      <c r="L59" s="1">
        <f t="shared" si="4"/>
        <v>53408.332400000043</v>
      </c>
      <c r="M59" s="38">
        <v>336.24</v>
      </c>
      <c r="N59" s="1">
        <f t="shared" si="5"/>
        <v>-950622.41247759759</v>
      </c>
      <c r="O59" s="35">
        <f t="shared" si="6"/>
        <v>2.3185840679898324E-2</v>
      </c>
    </row>
    <row r="60" spans="1:33" x14ac:dyDescent="0.2">
      <c r="A60" s="52">
        <v>37895</v>
      </c>
      <c r="B60" s="53">
        <v>46214952</v>
      </c>
      <c r="C60" s="29">
        <v>376.6</v>
      </c>
      <c r="D60" s="29">
        <v>0.4</v>
      </c>
      <c r="E60" s="53">
        <v>31</v>
      </c>
      <c r="F60" s="53">
        <v>1</v>
      </c>
      <c r="G60" s="53">
        <v>0</v>
      </c>
      <c r="H60" s="53">
        <v>255.2</v>
      </c>
      <c r="I60" s="66">
        <v>8.1999999999999993</v>
      </c>
      <c r="J60" s="53">
        <f t="shared" si="2"/>
        <v>47152965.497390822</v>
      </c>
      <c r="K60" s="6">
        <v>126.67875295378228</v>
      </c>
      <c r="L60" s="1">
        <f t="shared" ref="L60:L91" si="10">L59+19.9167</f>
        <v>53428.249100000045</v>
      </c>
      <c r="M60" s="38">
        <v>351.91199999999998</v>
      </c>
      <c r="N60" s="1">
        <f t="shared" si="5"/>
        <v>938013.49739082158</v>
      </c>
      <c r="O60" s="35">
        <f t="shared" si="6"/>
        <v>2.0296753686789973E-2</v>
      </c>
    </row>
    <row r="61" spans="1:33" x14ac:dyDescent="0.2">
      <c r="A61" s="52">
        <v>37926</v>
      </c>
      <c r="B61" s="53">
        <v>49785980</v>
      </c>
      <c r="C61" s="29">
        <v>523.70000000000005</v>
      </c>
      <c r="D61" s="29">
        <v>0</v>
      </c>
      <c r="E61" s="53">
        <v>30</v>
      </c>
      <c r="F61" s="53">
        <v>1</v>
      </c>
      <c r="G61" s="53">
        <v>0</v>
      </c>
      <c r="H61" s="53">
        <v>254.1</v>
      </c>
      <c r="I61" s="66">
        <v>7.6</v>
      </c>
      <c r="J61" s="53">
        <f t="shared" si="2"/>
        <v>49615627.333316274</v>
      </c>
      <c r="K61" s="6">
        <v>126.82560489765298</v>
      </c>
      <c r="L61" s="1">
        <f t="shared" si="10"/>
        <v>53448.165800000046</v>
      </c>
      <c r="M61" s="38">
        <v>319.68</v>
      </c>
      <c r="N61" s="1">
        <f t="shared" si="5"/>
        <v>-170352.66668372601</v>
      </c>
      <c r="O61" s="35">
        <f t="shared" si="6"/>
        <v>3.4216995765419503E-3</v>
      </c>
    </row>
    <row r="62" spans="1:33" x14ac:dyDescent="0.2">
      <c r="A62" s="52">
        <v>37956</v>
      </c>
      <c r="B62" s="53">
        <v>58014310</v>
      </c>
      <c r="C62" s="29">
        <v>762.2</v>
      </c>
      <c r="D62" s="29">
        <v>0</v>
      </c>
      <c r="E62" s="53">
        <v>31</v>
      </c>
      <c r="F62" s="53">
        <v>0</v>
      </c>
      <c r="G62" s="53">
        <v>0</v>
      </c>
      <c r="H62" s="53">
        <v>255.8</v>
      </c>
      <c r="I62" s="66">
        <v>7.2</v>
      </c>
      <c r="J62" s="53">
        <f t="shared" si="2"/>
        <v>58611723.078033343</v>
      </c>
      <c r="K62" s="6">
        <v>126.97262707917527</v>
      </c>
      <c r="L62" s="1">
        <f t="shared" si="10"/>
        <v>53468.082500000048</v>
      </c>
      <c r="M62" s="38">
        <v>336.28800000000001</v>
      </c>
      <c r="N62" s="1">
        <f t="shared" si="5"/>
        <v>597413.07803334296</v>
      </c>
      <c r="O62" s="35">
        <f t="shared" si="6"/>
        <v>1.0297684795929537E-2</v>
      </c>
      <c r="P62" s="24"/>
      <c r="Q62" s="24"/>
      <c r="R62" s="24"/>
      <c r="S62" s="24"/>
      <c r="T62" s="24"/>
      <c r="U62" s="24"/>
      <c r="V62" s="24"/>
      <c r="Y62" s="24"/>
      <c r="Z62" s="24"/>
      <c r="AA62" s="24"/>
      <c r="AB62" s="25"/>
      <c r="AC62" s="25"/>
      <c r="AD62" s="25"/>
      <c r="AE62" s="25"/>
      <c r="AF62" s="25"/>
      <c r="AG62" s="25"/>
    </row>
    <row r="63" spans="1:33" x14ac:dyDescent="0.2">
      <c r="A63" s="52">
        <v>37987</v>
      </c>
      <c r="B63" s="53">
        <v>69057020</v>
      </c>
      <c r="C63" s="29">
        <v>1121.5999999999999</v>
      </c>
      <c r="D63" s="29">
        <v>0</v>
      </c>
      <c r="E63" s="53">
        <v>31</v>
      </c>
      <c r="F63" s="53">
        <v>0</v>
      </c>
      <c r="G63" s="53">
        <v>0</v>
      </c>
      <c r="H63" s="53">
        <v>254.7</v>
      </c>
      <c r="I63" s="66">
        <v>7.5</v>
      </c>
      <c r="J63" s="53">
        <f t="shared" si="2"/>
        <v>67570624.749797732</v>
      </c>
      <c r="K63" s="6">
        <v>127.24450952057283</v>
      </c>
      <c r="L63" s="1">
        <f>L62+19.9167</f>
        <v>53487.999200000049</v>
      </c>
      <c r="M63" s="38">
        <v>336.28800000000001</v>
      </c>
      <c r="N63" s="1">
        <f t="shared" si="5"/>
        <v>-1486395.2502022684</v>
      </c>
      <c r="O63" s="35">
        <f t="shared" si="6"/>
        <v>2.1524173070344887E-2</v>
      </c>
      <c r="P63" s="24"/>
      <c r="Q63" s="24"/>
      <c r="R63" s="24"/>
      <c r="S63" s="24"/>
      <c r="T63" s="24"/>
      <c r="U63" s="24"/>
      <c r="V63" s="24"/>
      <c r="Y63" s="24"/>
      <c r="Z63" s="24"/>
      <c r="AA63" s="24"/>
      <c r="AB63" s="26"/>
      <c r="AC63" s="26"/>
      <c r="AD63" s="26"/>
      <c r="AE63" s="25"/>
      <c r="AF63" s="25"/>
      <c r="AG63" s="25"/>
    </row>
    <row r="64" spans="1:33" x14ac:dyDescent="0.2">
      <c r="A64" s="52">
        <v>38018</v>
      </c>
      <c r="B64" s="53">
        <v>59735330</v>
      </c>
      <c r="C64" s="29">
        <v>780.5</v>
      </c>
      <c r="D64" s="29">
        <v>0</v>
      </c>
      <c r="E64" s="53">
        <v>29</v>
      </c>
      <c r="F64" s="53">
        <v>0</v>
      </c>
      <c r="G64" s="53">
        <v>0</v>
      </c>
      <c r="H64" s="53">
        <v>254.4</v>
      </c>
      <c r="I64" s="66">
        <v>7.7</v>
      </c>
      <c r="J64" s="53">
        <f t="shared" si="2"/>
        <v>56722526.771555044</v>
      </c>
      <c r="K64" s="6">
        <v>127.5169741351808</v>
      </c>
      <c r="L64" s="1">
        <f t="shared" si="10"/>
        <v>53507.915900000051</v>
      </c>
      <c r="M64" s="38">
        <v>320.16000000000003</v>
      </c>
      <c r="N64" s="1">
        <f t="shared" si="5"/>
        <v>-3012803.2284449562</v>
      </c>
      <c r="O64" s="35">
        <f t="shared" si="6"/>
        <v>5.0435868161186288E-2</v>
      </c>
      <c r="P64" s="24"/>
      <c r="Q64" s="24"/>
      <c r="R64" s="24"/>
      <c r="S64" s="24"/>
      <c r="T64" s="24"/>
      <c r="U64" s="24"/>
      <c r="V64" s="24"/>
      <c r="Y64" s="24"/>
      <c r="Z64" s="24"/>
      <c r="AA64" s="24"/>
      <c r="AB64" s="25"/>
      <c r="AC64" s="25"/>
      <c r="AD64" s="25"/>
      <c r="AE64" s="25"/>
      <c r="AF64" s="25"/>
      <c r="AG64" s="25"/>
    </row>
    <row r="65" spans="1:33" x14ac:dyDescent="0.2">
      <c r="A65" s="52">
        <v>38047</v>
      </c>
      <c r="B65" s="53">
        <v>54100800</v>
      </c>
      <c r="C65" s="29">
        <v>647.1</v>
      </c>
      <c r="D65" s="29">
        <v>0</v>
      </c>
      <c r="E65" s="53">
        <v>31</v>
      </c>
      <c r="F65" s="53">
        <v>1</v>
      </c>
      <c r="G65" s="53">
        <v>0</v>
      </c>
      <c r="H65" s="53">
        <v>252.8</v>
      </c>
      <c r="I65" s="66">
        <v>8.1999999999999993</v>
      </c>
      <c r="J65" s="53">
        <f t="shared" si="2"/>
        <v>53799117.962742105</v>
      </c>
      <c r="K65" s="6">
        <v>127.79002216958813</v>
      </c>
      <c r="L65" s="1">
        <f t="shared" si="10"/>
        <v>53527.832600000052</v>
      </c>
      <c r="M65" s="38">
        <v>368.28</v>
      </c>
      <c r="N65" s="1">
        <f t="shared" si="5"/>
        <v>-301682.03725789487</v>
      </c>
      <c r="O65" s="35">
        <f t="shared" si="6"/>
        <v>5.5762953090877565E-3</v>
      </c>
      <c r="P65" s="13"/>
      <c r="Q65" s="13"/>
      <c r="R65" s="24"/>
      <c r="S65" s="24"/>
      <c r="T65" s="24"/>
      <c r="U65" s="24"/>
      <c r="V65" s="24"/>
      <c r="Y65" s="24"/>
      <c r="Z65" s="24"/>
      <c r="AA65" s="24"/>
      <c r="AB65" s="25"/>
      <c r="AC65" s="25"/>
      <c r="AD65" s="25"/>
      <c r="AE65" s="25"/>
      <c r="AF65" s="25"/>
      <c r="AG65" s="25"/>
    </row>
    <row r="66" spans="1:33" x14ac:dyDescent="0.2">
      <c r="A66" s="52">
        <v>38078</v>
      </c>
      <c r="B66" s="53">
        <v>46868660</v>
      </c>
      <c r="C66" s="29">
        <v>454.7</v>
      </c>
      <c r="D66" s="29">
        <v>0</v>
      </c>
      <c r="E66" s="53">
        <v>30</v>
      </c>
      <c r="F66" s="53">
        <v>1</v>
      </c>
      <c r="G66" s="53">
        <v>0</v>
      </c>
      <c r="H66" s="53">
        <v>251.6</v>
      </c>
      <c r="I66" s="66">
        <v>8.6</v>
      </c>
      <c r="J66" s="53">
        <f t="shared" si="2"/>
        <v>47784707.965105191</v>
      </c>
      <c r="K66" s="6">
        <v>128.06365487305305</v>
      </c>
      <c r="L66" s="1">
        <f t="shared" si="10"/>
        <v>53547.749300000054</v>
      </c>
      <c r="M66" s="38">
        <v>336.24</v>
      </c>
      <c r="N66" s="1">
        <f t="shared" si="5"/>
        <v>916047.96510519087</v>
      </c>
      <c r="O66" s="35">
        <f t="shared" si="6"/>
        <v>1.9545000115326339E-2</v>
      </c>
      <c r="P66" s="7"/>
      <c r="Q66" s="7"/>
      <c r="R66" s="24"/>
      <c r="S66" s="24"/>
      <c r="T66" s="24"/>
      <c r="U66" s="24"/>
      <c r="V66" s="24"/>
      <c r="Y66" s="24"/>
      <c r="Z66" s="24"/>
      <c r="AA66" s="24"/>
      <c r="AB66" s="25"/>
      <c r="AC66" s="25"/>
      <c r="AD66" s="25"/>
      <c r="AE66" s="25"/>
      <c r="AF66" s="25"/>
      <c r="AG66" s="25"/>
    </row>
    <row r="67" spans="1:33" x14ac:dyDescent="0.2">
      <c r="A67" s="52">
        <v>38108</v>
      </c>
      <c r="B67" s="53">
        <v>43342330</v>
      </c>
      <c r="C67" s="29">
        <v>257.5</v>
      </c>
      <c r="D67" s="29">
        <v>4.0999999999999996</v>
      </c>
      <c r="E67" s="53">
        <v>31</v>
      </c>
      <c r="F67" s="53">
        <v>1</v>
      </c>
      <c r="G67" s="53">
        <v>0</v>
      </c>
      <c r="H67" s="53">
        <v>252.5</v>
      </c>
      <c r="I67" s="66">
        <v>8.6999999999999993</v>
      </c>
      <c r="J67" s="53">
        <f t="shared" si="2"/>
        <v>44358257.17569162</v>
      </c>
      <c r="K67" s="6">
        <v>128.33787349750878</v>
      </c>
      <c r="L67" s="1">
        <f t="shared" si="10"/>
        <v>53567.666000000056</v>
      </c>
      <c r="M67" s="38">
        <v>319.92</v>
      </c>
      <c r="N67" s="1">
        <f t="shared" ref="N67:N98" si="11">J67-B67</f>
        <v>1015927.1756916195</v>
      </c>
      <c r="O67" s="35">
        <f t="shared" ref="O67:O98" si="12">ABS(N67/B67)</f>
        <v>2.3439606862197291E-2</v>
      </c>
      <c r="P67" s="7"/>
      <c r="Q67" s="7"/>
      <c r="R67" s="24"/>
      <c r="S67" s="24"/>
      <c r="T67" s="24"/>
      <c r="U67" s="24"/>
      <c r="V67" s="24"/>
      <c r="Y67" s="24"/>
      <c r="Z67" s="24"/>
      <c r="AA67" s="24"/>
      <c r="AB67" s="25"/>
      <c r="AC67" s="25"/>
      <c r="AD67" s="25"/>
      <c r="AE67" s="25"/>
      <c r="AF67" s="25"/>
      <c r="AG67" s="25"/>
    </row>
    <row r="68" spans="1:33" x14ac:dyDescent="0.2">
      <c r="A68" s="52">
        <v>38139</v>
      </c>
      <c r="B68" s="53">
        <v>41064550</v>
      </c>
      <c r="C68" s="29">
        <v>104</v>
      </c>
      <c r="D68" s="29">
        <v>7.7</v>
      </c>
      <c r="E68" s="53">
        <v>30</v>
      </c>
      <c r="F68" s="53">
        <v>0</v>
      </c>
      <c r="G68" s="53">
        <v>0</v>
      </c>
      <c r="H68" s="53">
        <v>257.2</v>
      </c>
      <c r="I68" s="66">
        <v>8.5</v>
      </c>
      <c r="J68" s="53">
        <f t="shared" ref="J68:J131" si="13">$Q$19+C68*$Q$20+D68*$Q$21+E68*$Q$22+F68*$Q$23+G68*$Q$24+H68*$Q$25</f>
        <v>41657533.253331177</v>
      </c>
      <c r="K68" s="6">
        <v>128.61267929756926</v>
      </c>
      <c r="L68" s="1">
        <f t="shared" si="10"/>
        <v>53587.582700000057</v>
      </c>
      <c r="M68" s="38">
        <v>352.08</v>
      </c>
      <c r="N68" s="1">
        <f t="shared" si="11"/>
        <v>592983.25333117694</v>
      </c>
      <c r="O68" s="35">
        <f t="shared" si="12"/>
        <v>1.4440271556151886E-2</v>
      </c>
      <c r="P68" s="7"/>
      <c r="Q68" s="7"/>
      <c r="R68" s="24"/>
      <c r="S68" s="24"/>
      <c r="T68" s="24"/>
      <c r="U68" s="24"/>
      <c r="V68" s="24"/>
      <c r="Y68" s="24"/>
      <c r="Z68" s="24"/>
      <c r="AA68" s="24"/>
      <c r="AB68" s="25"/>
      <c r="AC68" s="25"/>
      <c r="AD68" s="25"/>
      <c r="AE68" s="25"/>
      <c r="AF68" s="25"/>
      <c r="AG68" s="25"/>
    </row>
    <row r="69" spans="1:33" x14ac:dyDescent="0.2">
      <c r="A69" s="52">
        <v>38169</v>
      </c>
      <c r="B69" s="53">
        <v>43951680</v>
      </c>
      <c r="C69" s="29">
        <v>25.1</v>
      </c>
      <c r="D69" s="29">
        <v>41</v>
      </c>
      <c r="E69" s="53">
        <v>31</v>
      </c>
      <c r="F69" s="53">
        <v>0</v>
      </c>
      <c r="G69" s="53">
        <v>0</v>
      </c>
      <c r="H69" s="53">
        <v>262</v>
      </c>
      <c r="I69" s="66">
        <v>8.1</v>
      </c>
      <c r="J69" s="53">
        <f t="shared" si="13"/>
        <v>43718236.338659547</v>
      </c>
      <c r="K69" s="6">
        <v>128.88807353053494</v>
      </c>
      <c r="L69" s="1">
        <f t="shared" si="10"/>
        <v>53607.499400000059</v>
      </c>
      <c r="M69" s="38">
        <v>336.28800000000001</v>
      </c>
      <c r="N69" s="1">
        <f t="shared" si="11"/>
        <v>-233443.66134045273</v>
      </c>
      <c r="O69" s="35">
        <f t="shared" si="12"/>
        <v>5.3113706083692987E-3</v>
      </c>
      <c r="P69" s="7"/>
      <c r="Q69" s="7"/>
      <c r="R69" s="24"/>
      <c r="S69" s="24"/>
      <c r="T69" s="24"/>
      <c r="U69" s="24"/>
      <c r="V69" s="24"/>
      <c r="Y69" s="24"/>
      <c r="Z69" s="24"/>
      <c r="AA69" s="24"/>
      <c r="AB69" s="25"/>
      <c r="AC69" s="25"/>
      <c r="AD69" s="25"/>
      <c r="AE69" s="25"/>
      <c r="AF69" s="25"/>
      <c r="AG69" s="25"/>
    </row>
    <row r="70" spans="1:33" x14ac:dyDescent="0.2">
      <c r="A70" s="52">
        <v>38200</v>
      </c>
      <c r="B70" s="53">
        <v>42933280</v>
      </c>
      <c r="C70" s="29">
        <v>75.599999999999994</v>
      </c>
      <c r="D70" s="29">
        <v>20.5</v>
      </c>
      <c r="E70" s="53">
        <v>31</v>
      </c>
      <c r="F70" s="53">
        <v>0</v>
      </c>
      <c r="G70" s="53">
        <v>0</v>
      </c>
      <c r="H70" s="53">
        <v>263.2</v>
      </c>
      <c r="I70" s="66">
        <v>8.3000000000000007</v>
      </c>
      <c r="J70" s="53">
        <f t="shared" si="13"/>
        <v>43372933.625301629</v>
      </c>
      <c r="K70" s="6">
        <v>129.16405745639844</v>
      </c>
      <c r="L70" s="1">
        <f t="shared" si="10"/>
        <v>53627.41610000006</v>
      </c>
      <c r="M70" s="38">
        <v>336.28800000000001</v>
      </c>
      <c r="N70" s="1">
        <f t="shared" si="11"/>
        <v>439653.6253016293</v>
      </c>
      <c r="O70" s="35">
        <f t="shared" si="12"/>
        <v>1.0240392192295332E-2</v>
      </c>
      <c r="P70" s="7"/>
      <c r="Q70" s="7"/>
      <c r="R70" s="24"/>
      <c r="S70" s="24"/>
      <c r="T70" s="24"/>
      <c r="U70" s="24"/>
      <c r="V70" s="24"/>
      <c r="Y70" s="24"/>
      <c r="Z70" s="24"/>
      <c r="AA70" s="24"/>
      <c r="AB70" s="25"/>
      <c r="AC70" s="25"/>
      <c r="AD70" s="25"/>
      <c r="AE70" s="25"/>
      <c r="AF70" s="25"/>
      <c r="AG70" s="25"/>
    </row>
    <row r="71" spans="1:33" x14ac:dyDescent="0.2">
      <c r="A71" s="52">
        <v>38231</v>
      </c>
      <c r="B71" s="53">
        <v>42265810</v>
      </c>
      <c r="C71" s="29">
        <v>103.5</v>
      </c>
      <c r="D71" s="29">
        <v>19.8</v>
      </c>
      <c r="E71" s="53">
        <v>30</v>
      </c>
      <c r="F71" s="53">
        <v>1</v>
      </c>
      <c r="G71" s="53">
        <v>0</v>
      </c>
      <c r="H71" s="53">
        <v>259.60000000000002</v>
      </c>
      <c r="I71" s="66">
        <v>8.1999999999999993</v>
      </c>
      <c r="J71" s="53">
        <f t="shared" si="13"/>
        <v>40916446.237641223</v>
      </c>
      <c r="K71" s="6">
        <v>129.44063233785036</v>
      </c>
      <c r="L71" s="1">
        <f t="shared" si="10"/>
        <v>53647.332800000062</v>
      </c>
      <c r="M71" s="38">
        <v>336.24</v>
      </c>
      <c r="N71" s="1">
        <f t="shared" si="11"/>
        <v>-1349363.7623587772</v>
      </c>
      <c r="O71" s="35">
        <f t="shared" si="12"/>
        <v>3.1925657224096196E-2</v>
      </c>
      <c r="P71" s="24"/>
      <c r="Q71" s="24"/>
      <c r="R71" s="24"/>
      <c r="S71" s="24"/>
      <c r="T71" s="24"/>
      <c r="U71" s="24"/>
      <c r="V71" s="24"/>
      <c r="Y71" s="24"/>
      <c r="Z71" s="24"/>
      <c r="AA71" s="24"/>
      <c r="AB71" s="25"/>
      <c r="AC71" s="25"/>
      <c r="AD71" s="25"/>
      <c r="AE71" s="25"/>
      <c r="AF71" s="25"/>
      <c r="AG71" s="25"/>
    </row>
    <row r="72" spans="1:33" x14ac:dyDescent="0.2">
      <c r="A72" s="52">
        <v>38261</v>
      </c>
      <c r="B72" s="53">
        <v>45470380</v>
      </c>
      <c r="C72" s="29">
        <v>326.3</v>
      </c>
      <c r="D72" s="29">
        <v>0</v>
      </c>
      <c r="E72" s="53">
        <v>31</v>
      </c>
      <c r="F72" s="53">
        <v>1</v>
      </c>
      <c r="G72" s="53">
        <v>0</v>
      </c>
      <c r="H72" s="53">
        <v>258.7</v>
      </c>
      <c r="I72" s="66">
        <v>7.7</v>
      </c>
      <c r="J72" s="53">
        <f t="shared" si="13"/>
        <v>46003642.229503423</v>
      </c>
      <c r="K72" s="6">
        <v>129.71779944028509</v>
      </c>
      <c r="L72" s="1">
        <f t="shared" si="10"/>
        <v>53667.249500000064</v>
      </c>
      <c r="M72" s="38">
        <v>319.92</v>
      </c>
      <c r="N72" s="1">
        <f t="shared" si="11"/>
        <v>533262.22950342298</v>
      </c>
      <c r="O72" s="35">
        <f t="shared" si="12"/>
        <v>1.1727683593218772E-2</v>
      </c>
      <c r="P72" s="24"/>
      <c r="Q72" s="24"/>
      <c r="R72" s="24"/>
      <c r="S72" s="24"/>
      <c r="T72" s="24"/>
      <c r="U72" s="24"/>
      <c r="V72" s="24"/>
      <c r="Y72" s="24"/>
      <c r="Z72" s="24"/>
      <c r="AA72" s="24"/>
      <c r="AB72" s="25"/>
      <c r="AC72" s="25"/>
      <c r="AD72" s="25"/>
      <c r="AE72" s="25"/>
      <c r="AF72" s="25"/>
      <c r="AG72" s="25"/>
    </row>
    <row r="73" spans="1:33" x14ac:dyDescent="0.2">
      <c r="A73" s="52">
        <v>38292</v>
      </c>
      <c r="B73" s="53">
        <v>50304380</v>
      </c>
      <c r="C73" s="29">
        <v>537.20000000000005</v>
      </c>
      <c r="D73" s="29">
        <v>0</v>
      </c>
      <c r="E73" s="53">
        <v>30</v>
      </c>
      <c r="F73" s="53">
        <v>1</v>
      </c>
      <c r="G73" s="53">
        <v>0</v>
      </c>
      <c r="H73" s="53">
        <v>257.8</v>
      </c>
      <c r="I73" s="66">
        <v>7.4</v>
      </c>
      <c r="J73" s="53">
        <f t="shared" si="13"/>
        <v>50105225.490847342</v>
      </c>
      <c r="K73" s="6">
        <v>129.99556003180655</v>
      </c>
      <c r="L73" s="1">
        <f t="shared" si="10"/>
        <v>53687.166200000065</v>
      </c>
      <c r="M73" s="38">
        <v>352.08</v>
      </c>
      <c r="N73" s="1">
        <f t="shared" si="11"/>
        <v>-199154.50915265828</v>
      </c>
      <c r="O73" s="35">
        <f t="shared" si="12"/>
        <v>3.9589894389446458E-3</v>
      </c>
      <c r="P73" s="14"/>
      <c r="Q73" s="14"/>
      <c r="R73" s="14"/>
      <c r="S73" s="14"/>
      <c r="T73" s="14"/>
      <c r="U73" s="14"/>
      <c r="V73" s="24"/>
      <c r="Y73" s="24"/>
      <c r="Z73" s="24"/>
      <c r="AA73" s="24"/>
      <c r="AB73" s="25"/>
      <c r="AC73" s="25"/>
      <c r="AD73" s="25"/>
      <c r="AE73" s="25"/>
      <c r="AF73" s="25"/>
      <c r="AG73" s="25"/>
    </row>
    <row r="74" spans="1:33" x14ac:dyDescent="0.2">
      <c r="A74" s="52">
        <v>38322</v>
      </c>
      <c r="B74" s="53">
        <v>62662520</v>
      </c>
      <c r="C74" s="29">
        <v>896.5</v>
      </c>
      <c r="D74" s="29">
        <v>0</v>
      </c>
      <c r="E74" s="53">
        <v>31</v>
      </c>
      <c r="F74" s="53">
        <v>0</v>
      </c>
      <c r="G74" s="53">
        <v>0</v>
      </c>
      <c r="H74" s="53">
        <v>260.2</v>
      </c>
      <c r="I74" s="66">
        <v>6.9</v>
      </c>
      <c r="J74" s="53">
        <f t="shared" si="13"/>
        <v>62156317.761045791</v>
      </c>
      <c r="K74" s="6">
        <v>130.27391538323383</v>
      </c>
      <c r="L74" s="1">
        <f t="shared" si="10"/>
        <v>53707.082900000067</v>
      </c>
      <c r="M74" s="38">
        <v>336.28800000000001</v>
      </c>
      <c r="N74" s="1">
        <f t="shared" si="11"/>
        <v>-506202.23895420879</v>
      </c>
      <c r="O74" s="35">
        <f t="shared" si="12"/>
        <v>8.078229840648106E-3</v>
      </c>
      <c r="P74" s="7"/>
      <c r="Q74" s="7"/>
      <c r="R74" s="7"/>
      <c r="S74" s="7"/>
      <c r="T74" s="7"/>
      <c r="U74" s="7"/>
      <c r="V74" s="24"/>
      <c r="Y74" s="24"/>
      <c r="Z74" s="24"/>
      <c r="AA74" s="24"/>
      <c r="AB74" s="25"/>
      <c r="AC74" s="25"/>
      <c r="AD74" s="25"/>
      <c r="AE74" s="25"/>
      <c r="AF74" s="25"/>
      <c r="AG74" s="25"/>
    </row>
    <row r="75" spans="1:33" x14ac:dyDescent="0.2">
      <c r="A75" s="52">
        <v>38353</v>
      </c>
      <c r="B75" s="53">
        <v>66888914.999999993</v>
      </c>
      <c r="C75" s="29">
        <v>1002.3</v>
      </c>
      <c r="D75" s="29">
        <v>0</v>
      </c>
      <c r="E75" s="53">
        <v>31</v>
      </c>
      <c r="F75" s="53">
        <v>0</v>
      </c>
      <c r="G75" s="53">
        <v>0</v>
      </c>
      <c r="H75" s="53">
        <v>257.39999999999998</v>
      </c>
      <c r="I75" s="66">
        <v>7.3</v>
      </c>
      <c r="J75" s="53">
        <f t="shared" si="13"/>
        <v>64692320.339679614</v>
      </c>
      <c r="K75" s="6">
        <v>130.57405526242641</v>
      </c>
      <c r="L75" s="1">
        <f t="shared" si="10"/>
        <v>53726.999600000068</v>
      </c>
      <c r="M75" s="38">
        <v>319.92</v>
      </c>
      <c r="N75" s="1">
        <f t="shared" si="11"/>
        <v>-2196594.6603203788</v>
      </c>
      <c r="O75" s="35">
        <f t="shared" si="12"/>
        <v>3.2839442235240011E-2</v>
      </c>
      <c r="P75" s="7"/>
      <c r="Q75" s="7"/>
      <c r="R75" s="7"/>
      <c r="S75" s="7"/>
      <c r="T75" s="7"/>
      <c r="U75" s="7"/>
      <c r="V75" s="24"/>
      <c r="Y75" s="24"/>
      <c r="Z75" s="24"/>
      <c r="AA75" s="24"/>
      <c r="AB75" s="26"/>
      <c r="AC75" s="26"/>
      <c r="AD75" s="26"/>
      <c r="AE75" s="25"/>
      <c r="AF75" s="25"/>
      <c r="AG75" s="25"/>
    </row>
    <row r="76" spans="1:33" x14ac:dyDescent="0.2">
      <c r="A76" s="52">
        <v>38384</v>
      </c>
      <c r="B76" s="53">
        <v>54935166</v>
      </c>
      <c r="C76" s="29">
        <v>736.3</v>
      </c>
      <c r="D76" s="29">
        <v>0</v>
      </c>
      <c r="E76" s="53">
        <v>28</v>
      </c>
      <c r="F76" s="53">
        <v>0</v>
      </c>
      <c r="G76" s="53">
        <v>0</v>
      </c>
      <c r="H76" s="53">
        <v>258.2</v>
      </c>
      <c r="I76" s="66">
        <v>7.3</v>
      </c>
      <c r="J76" s="53">
        <f t="shared" si="13"/>
        <v>54625492.156421289</v>
      </c>
      <c r="K76" s="6">
        <v>130.87488663804646</v>
      </c>
      <c r="L76" s="1">
        <f t="shared" si="10"/>
        <v>53746.91630000007</v>
      </c>
      <c r="M76" s="38">
        <v>319.87200000000001</v>
      </c>
      <c r="N76" s="1">
        <f t="shared" si="11"/>
        <v>-309673.84357871115</v>
      </c>
      <c r="O76" s="35">
        <f t="shared" si="12"/>
        <v>5.637078507757875E-3</v>
      </c>
      <c r="P76" s="7"/>
      <c r="Q76" s="7"/>
      <c r="R76" s="7"/>
      <c r="S76" s="7"/>
      <c r="T76" s="7"/>
      <c r="U76" s="7"/>
      <c r="V76" s="24"/>
      <c r="Y76" s="24"/>
      <c r="Z76" s="24"/>
      <c r="AA76" s="24"/>
      <c r="AB76" s="25"/>
      <c r="AC76" s="25"/>
      <c r="AD76" s="25"/>
      <c r="AE76" s="25"/>
      <c r="AF76" s="25"/>
      <c r="AG76" s="25"/>
    </row>
    <row r="77" spans="1:33" x14ac:dyDescent="0.2">
      <c r="A77" s="52">
        <v>38412</v>
      </c>
      <c r="B77" s="53">
        <v>56830765</v>
      </c>
      <c r="C77" s="29">
        <v>739.1</v>
      </c>
      <c r="D77" s="29">
        <v>0</v>
      </c>
      <c r="E77" s="53">
        <v>31</v>
      </c>
      <c r="F77" s="53">
        <v>1</v>
      </c>
      <c r="G77" s="53">
        <v>0</v>
      </c>
      <c r="H77" s="53">
        <v>257.5</v>
      </c>
      <c r="I77" s="66">
        <v>7.6</v>
      </c>
      <c r="J77" s="53">
        <f t="shared" si="13"/>
        <v>56296261.836726487</v>
      </c>
      <c r="K77" s="6">
        <v>131.1764111032422</v>
      </c>
      <c r="L77" s="1">
        <f t="shared" si="10"/>
        <v>53766.833000000071</v>
      </c>
      <c r="M77" s="38">
        <v>351.91199999999998</v>
      </c>
      <c r="N77" s="1">
        <f t="shared" si="11"/>
        <v>-534503.16327351332</v>
      </c>
      <c r="O77" s="35">
        <f t="shared" si="12"/>
        <v>9.405172766432289E-3</v>
      </c>
      <c r="P77" s="24"/>
      <c r="Q77" s="24"/>
      <c r="R77" s="24"/>
      <c r="S77" s="24"/>
      <c r="T77" s="24"/>
      <c r="U77" s="24"/>
      <c r="V77" s="24"/>
      <c r="Y77" s="24"/>
      <c r="Z77" s="24"/>
      <c r="AA77" s="24"/>
      <c r="AB77" s="25"/>
      <c r="AC77" s="25"/>
      <c r="AD77" s="25"/>
      <c r="AE77" s="25"/>
      <c r="AF77" s="25"/>
      <c r="AG77" s="25"/>
    </row>
    <row r="78" spans="1:33" x14ac:dyDescent="0.2">
      <c r="A78" s="52">
        <v>38443</v>
      </c>
      <c r="B78" s="53">
        <v>46226900</v>
      </c>
      <c r="C78" s="29">
        <v>378.9</v>
      </c>
      <c r="D78" s="29">
        <v>0</v>
      </c>
      <c r="E78" s="53">
        <v>30</v>
      </c>
      <c r="F78" s="53">
        <v>1</v>
      </c>
      <c r="G78" s="53">
        <v>0</v>
      </c>
      <c r="H78" s="53">
        <v>259.60000000000002</v>
      </c>
      <c r="I78" s="66">
        <v>7.2</v>
      </c>
      <c r="J78" s="53">
        <f t="shared" si="13"/>
        <v>46213045.117143132</v>
      </c>
      <c r="K78" s="6">
        <v>131.4786302548323</v>
      </c>
      <c r="L78" s="1">
        <f t="shared" si="10"/>
        <v>53786.749700000073</v>
      </c>
      <c r="M78" s="38">
        <v>336.24</v>
      </c>
      <c r="N78" s="1">
        <f t="shared" si="11"/>
        <v>-13854.882856868207</v>
      </c>
      <c r="O78" s="35">
        <f t="shared" si="12"/>
        <v>2.9971473010018427E-4</v>
      </c>
      <c r="P78" s="14"/>
      <c r="Q78" s="14"/>
      <c r="R78" s="14"/>
      <c r="S78" s="14"/>
      <c r="T78" s="14"/>
      <c r="U78" s="14"/>
      <c r="V78" s="14"/>
      <c r="Y78" s="24"/>
      <c r="Z78" s="24"/>
      <c r="AA78" s="24"/>
      <c r="AB78" s="25"/>
      <c r="AC78" s="25"/>
      <c r="AD78" s="25"/>
      <c r="AE78" s="25"/>
      <c r="AF78" s="25"/>
      <c r="AG78" s="25"/>
    </row>
    <row r="79" spans="1:33" x14ac:dyDescent="0.2">
      <c r="A79" s="52">
        <v>38473</v>
      </c>
      <c r="B79" s="53">
        <v>43216125</v>
      </c>
      <c r="C79" s="29">
        <v>214.9</v>
      </c>
      <c r="D79" s="29">
        <v>0.9</v>
      </c>
      <c r="E79" s="53">
        <v>31</v>
      </c>
      <c r="F79" s="53">
        <v>1</v>
      </c>
      <c r="G79" s="53">
        <v>0</v>
      </c>
      <c r="H79" s="53">
        <v>262.60000000000002</v>
      </c>
      <c r="I79" s="66">
        <v>7.1</v>
      </c>
      <c r="J79" s="53">
        <f t="shared" si="13"/>
        <v>43445210.89441631</v>
      </c>
      <c r="K79" s="6">
        <v>131.78154569331437</v>
      </c>
      <c r="L79" s="1">
        <f t="shared" si="10"/>
        <v>53806.666400000075</v>
      </c>
      <c r="M79" s="38">
        <v>336.28800000000001</v>
      </c>
      <c r="N79" s="1">
        <f t="shared" si="11"/>
        <v>229085.89441630989</v>
      </c>
      <c r="O79" s="35">
        <f t="shared" si="12"/>
        <v>5.3009355747723769E-3</v>
      </c>
      <c r="P79" s="7"/>
      <c r="Q79" s="7"/>
      <c r="R79" s="7"/>
      <c r="S79" s="7"/>
      <c r="T79" s="7"/>
      <c r="U79" s="7"/>
      <c r="V79" s="7"/>
      <c r="Y79" s="24"/>
      <c r="Z79" s="24"/>
      <c r="AA79" s="24"/>
      <c r="AB79" s="25"/>
      <c r="AC79" s="25"/>
      <c r="AD79" s="25"/>
      <c r="AE79" s="25"/>
      <c r="AF79" s="25"/>
      <c r="AG79" s="25"/>
    </row>
    <row r="80" spans="1:33" x14ac:dyDescent="0.2">
      <c r="A80" s="52">
        <v>38504</v>
      </c>
      <c r="B80" s="53">
        <v>45498644</v>
      </c>
      <c r="C80" s="29">
        <v>32</v>
      </c>
      <c r="D80" s="29">
        <v>75.7</v>
      </c>
      <c r="E80" s="53">
        <v>30</v>
      </c>
      <c r="F80" s="53">
        <v>0</v>
      </c>
      <c r="G80" s="53">
        <v>0</v>
      </c>
      <c r="H80" s="53">
        <v>263.39999999999998</v>
      </c>
      <c r="I80" s="66">
        <v>7.2</v>
      </c>
      <c r="J80" s="53">
        <f t="shared" si="13"/>
        <v>45612298.856113799</v>
      </c>
      <c r="K80" s="6">
        <v>132.08515902287346</v>
      </c>
      <c r="L80" s="1">
        <f t="shared" si="10"/>
        <v>53826.583100000076</v>
      </c>
      <c r="M80" s="38">
        <v>352.08</v>
      </c>
      <c r="N80" s="1">
        <f t="shared" si="11"/>
        <v>113654.85611379892</v>
      </c>
      <c r="O80" s="35">
        <f t="shared" si="12"/>
        <v>2.4979833709725266E-3</v>
      </c>
      <c r="P80" s="7"/>
      <c r="Q80" s="7"/>
      <c r="R80" s="7"/>
      <c r="S80" s="7"/>
      <c r="T80" s="7"/>
      <c r="U80" s="7"/>
      <c r="V80" s="7"/>
      <c r="Y80" s="24"/>
      <c r="Z80" s="24"/>
      <c r="AA80" s="24"/>
      <c r="AB80" s="25"/>
      <c r="AC80" s="25"/>
      <c r="AD80" s="25"/>
      <c r="AE80" s="25"/>
      <c r="AF80" s="25"/>
      <c r="AG80" s="25"/>
    </row>
    <row r="81" spans="1:33" x14ac:dyDescent="0.2">
      <c r="A81" s="52">
        <v>38534</v>
      </c>
      <c r="B81" s="53">
        <v>47362218</v>
      </c>
      <c r="C81" s="29">
        <v>13.7</v>
      </c>
      <c r="D81" s="29">
        <v>103</v>
      </c>
      <c r="E81" s="53">
        <v>31</v>
      </c>
      <c r="F81" s="53">
        <v>0</v>
      </c>
      <c r="G81" s="53">
        <v>0</v>
      </c>
      <c r="H81" s="53">
        <v>263.8</v>
      </c>
      <c r="I81" s="66">
        <v>7.5</v>
      </c>
      <c r="J81" s="53">
        <f t="shared" si="13"/>
        <v>48525436.994024679</v>
      </c>
      <c r="K81" s="6">
        <v>132.38947185139045</v>
      </c>
      <c r="L81" s="1">
        <f t="shared" si="10"/>
        <v>53846.499800000078</v>
      </c>
      <c r="M81" s="38">
        <v>319.92</v>
      </c>
      <c r="N81" s="1">
        <f t="shared" si="11"/>
        <v>1163218.9940246791</v>
      </c>
      <c r="O81" s="35">
        <f t="shared" si="12"/>
        <v>2.4560061651350006E-2</v>
      </c>
      <c r="P81" s="7"/>
      <c r="Q81" s="7"/>
      <c r="R81" s="7"/>
      <c r="S81" s="7"/>
      <c r="T81" s="7"/>
      <c r="U81" s="7"/>
      <c r="V81" s="7"/>
      <c r="Y81" s="24"/>
      <c r="Z81" s="24"/>
      <c r="AA81" s="24"/>
      <c r="AB81" s="25"/>
      <c r="AC81" s="25"/>
      <c r="AD81" s="25"/>
      <c r="AE81" s="25"/>
      <c r="AF81" s="25"/>
      <c r="AG81" s="25"/>
    </row>
    <row r="82" spans="1:33" x14ac:dyDescent="0.2">
      <c r="A82" s="52">
        <v>38565</v>
      </c>
      <c r="B82" s="53">
        <v>45630403</v>
      </c>
      <c r="C82" s="29">
        <v>18.8</v>
      </c>
      <c r="D82" s="29">
        <v>66.5</v>
      </c>
      <c r="E82" s="53">
        <v>31</v>
      </c>
      <c r="F82" s="53">
        <v>0</v>
      </c>
      <c r="G82" s="53">
        <v>0</v>
      </c>
      <c r="H82" s="53">
        <v>261.2</v>
      </c>
      <c r="I82" s="66">
        <v>7.8</v>
      </c>
      <c r="J82" s="53">
        <f t="shared" si="13"/>
        <v>45592001.121435478</v>
      </c>
      <c r="K82" s="6">
        <v>132.69448579045073</v>
      </c>
      <c r="L82" s="1">
        <f t="shared" si="10"/>
        <v>53866.416500000079</v>
      </c>
      <c r="M82" s="38">
        <v>351.91199999999998</v>
      </c>
      <c r="N82" s="1">
        <f t="shared" si="11"/>
        <v>-38401.87856452167</v>
      </c>
      <c r="O82" s="35">
        <f t="shared" si="12"/>
        <v>8.4158534748250355E-4</v>
      </c>
      <c r="P82" s="7"/>
      <c r="Q82" s="7"/>
      <c r="R82" s="7"/>
      <c r="S82" s="7"/>
      <c r="T82" s="7"/>
      <c r="U82" s="7"/>
      <c r="V82" s="7"/>
      <c r="Y82" s="24"/>
      <c r="Z82" s="24"/>
      <c r="AA82" s="24"/>
      <c r="AB82" s="25"/>
      <c r="AC82" s="25"/>
      <c r="AD82" s="25"/>
      <c r="AE82" s="25"/>
      <c r="AF82" s="25"/>
      <c r="AG82" s="25"/>
    </row>
    <row r="83" spans="1:33" x14ac:dyDescent="0.2">
      <c r="A83" s="52">
        <v>38596</v>
      </c>
      <c r="B83" s="53">
        <v>42580573.000000007</v>
      </c>
      <c r="C83" s="29">
        <v>85.4</v>
      </c>
      <c r="D83" s="29">
        <v>17.3</v>
      </c>
      <c r="E83" s="53">
        <v>30</v>
      </c>
      <c r="F83" s="53">
        <v>1</v>
      </c>
      <c r="G83" s="53">
        <v>0</v>
      </c>
      <c r="H83" s="53">
        <v>260.2</v>
      </c>
      <c r="I83" s="66">
        <v>7.2</v>
      </c>
      <c r="J83" s="53">
        <f t="shared" si="13"/>
        <v>40285158.169275016</v>
      </c>
      <c r="K83" s="6">
        <v>133.00020245535256</v>
      </c>
      <c r="L83" s="1">
        <f t="shared" si="10"/>
        <v>53886.333200000081</v>
      </c>
      <c r="M83" s="38">
        <v>336.24</v>
      </c>
      <c r="N83" s="1">
        <f t="shared" si="11"/>
        <v>-2295414.8307249919</v>
      </c>
      <c r="O83" s="35">
        <f t="shared" si="12"/>
        <v>5.3907560866430601E-2</v>
      </c>
      <c r="P83" s="7"/>
      <c r="Q83" s="7"/>
      <c r="R83" s="7"/>
      <c r="S83" s="7"/>
      <c r="T83" s="7"/>
      <c r="U83" s="7"/>
      <c r="V83" s="7"/>
      <c r="Y83" s="24"/>
      <c r="Z83" s="24"/>
      <c r="AA83" s="24"/>
      <c r="AB83" s="25"/>
      <c r="AC83" s="25"/>
      <c r="AD83" s="25"/>
      <c r="AE83" s="25"/>
      <c r="AF83" s="25"/>
      <c r="AG83" s="25"/>
    </row>
    <row r="84" spans="1:33" x14ac:dyDescent="0.2">
      <c r="A84" s="52">
        <v>38626</v>
      </c>
      <c r="B84" s="53">
        <v>45537061</v>
      </c>
      <c r="C84" s="29">
        <v>300</v>
      </c>
      <c r="D84" s="29">
        <v>7.3</v>
      </c>
      <c r="E84" s="53">
        <v>31</v>
      </c>
      <c r="F84" s="53">
        <v>1</v>
      </c>
      <c r="G84" s="53">
        <v>0</v>
      </c>
      <c r="H84" s="53">
        <v>259</v>
      </c>
      <c r="I84" s="66">
        <v>6.8</v>
      </c>
      <c r="J84" s="53">
        <f t="shared" si="13"/>
        <v>45947997.921390869</v>
      </c>
      <c r="K84" s="6">
        <v>133.30662346511576</v>
      </c>
      <c r="L84" s="1">
        <f t="shared" si="10"/>
        <v>53906.249900000083</v>
      </c>
      <c r="M84" s="38">
        <v>319.92</v>
      </c>
      <c r="N84" s="1">
        <f t="shared" si="11"/>
        <v>410936.92139086872</v>
      </c>
      <c r="O84" s="35">
        <f t="shared" si="12"/>
        <v>9.0242302064876059E-3</v>
      </c>
      <c r="P84" s="7"/>
      <c r="Q84" s="7"/>
      <c r="R84" s="7"/>
      <c r="S84" s="7"/>
      <c r="T84" s="7"/>
      <c r="U84" s="7"/>
      <c r="V84" s="7"/>
      <c r="Y84" s="24"/>
      <c r="Z84" s="24"/>
      <c r="AA84" s="24"/>
      <c r="AB84" s="25"/>
      <c r="AC84" s="25"/>
      <c r="AD84" s="25"/>
      <c r="AE84" s="25"/>
      <c r="AF84" s="25"/>
      <c r="AG84" s="25"/>
    </row>
    <row r="85" spans="1:33" x14ac:dyDescent="0.2">
      <c r="A85" s="52">
        <v>38657</v>
      </c>
      <c r="B85" s="53">
        <v>51404729</v>
      </c>
      <c r="C85" s="29">
        <v>558.20000000000005</v>
      </c>
      <c r="D85" s="29">
        <v>0</v>
      </c>
      <c r="E85" s="53">
        <v>30</v>
      </c>
      <c r="F85" s="53">
        <v>1</v>
      </c>
      <c r="G85" s="53">
        <v>0</v>
      </c>
      <c r="H85" s="53">
        <v>257.7</v>
      </c>
      <c r="I85" s="66">
        <v>6</v>
      </c>
      <c r="J85" s="53">
        <f t="shared" si="13"/>
        <v>50627238.785813443</v>
      </c>
      <c r="K85" s="6">
        <v>133.61375044249021</v>
      </c>
      <c r="L85" s="1">
        <f t="shared" si="10"/>
        <v>53926.166600000084</v>
      </c>
      <c r="M85" s="38">
        <v>352.08</v>
      </c>
      <c r="N85" s="1">
        <f t="shared" si="11"/>
        <v>-777490.21418655664</v>
      </c>
      <c r="O85" s="35">
        <f t="shared" si="12"/>
        <v>1.5124877210938251E-2</v>
      </c>
      <c r="P85" s="7"/>
      <c r="Q85" s="7"/>
      <c r="R85" s="7"/>
      <c r="S85" s="7"/>
      <c r="T85" s="7"/>
      <c r="U85" s="7"/>
      <c r="V85" s="7"/>
      <c r="Y85" s="24"/>
      <c r="Z85" s="24"/>
      <c r="AA85" s="24"/>
      <c r="AB85" s="25"/>
      <c r="AC85" s="25"/>
      <c r="AD85" s="25"/>
      <c r="AE85" s="25"/>
      <c r="AF85" s="25"/>
      <c r="AG85" s="25"/>
    </row>
    <row r="86" spans="1:33" x14ac:dyDescent="0.2">
      <c r="A86" s="52">
        <v>38687</v>
      </c>
      <c r="B86" s="53">
        <v>60252162</v>
      </c>
      <c r="C86" s="29">
        <v>831.8</v>
      </c>
      <c r="D86" s="29">
        <v>0</v>
      </c>
      <c r="E86" s="53">
        <v>31</v>
      </c>
      <c r="F86" s="53">
        <v>0</v>
      </c>
      <c r="G86" s="53">
        <v>0</v>
      </c>
      <c r="H86" s="53">
        <v>257</v>
      </c>
      <c r="I86" s="66">
        <v>6.4</v>
      </c>
      <c r="J86" s="53">
        <f t="shared" si="13"/>
        <v>60404483.673699632</v>
      </c>
      <c r="K86" s="6">
        <v>133.92158501396437</v>
      </c>
      <c r="L86" s="1">
        <f t="shared" si="10"/>
        <v>53946.083300000086</v>
      </c>
      <c r="M86" s="38">
        <v>319.92</v>
      </c>
      <c r="N86" s="1">
        <f t="shared" si="11"/>
        <v>152321.67369963229</v>
      </c>
      <c r="O86" s="35">
        <f t="shared" si="12"/>
        <v>2.5280698425333235E-3</v>
      </c>
      <c r="P86" s="7"/>
      <c r="Q86" s="7"/>
      <c r="R86" s="7"/>
      <c r="S86" s="7"/>
      <c r="T86" s="7"/>
      <c r="U86" s="7"/>
      <c r="V86" s="7"/>
      <c r="Y86" s="24"/>
      <c r="Z86" s="24"/>
      <c r="AA86" s="24"/>
      <c r="AB86" s="25"/>
      <c r="AC86" s="25"/>
      <c r="AD86" s="25"/>
      <c r="AE86" s="25"/>
      <c r="AF86" s="25"/>
      <c r="AG86" s="25"/>
    </row>
    <row r="87" spans="1:33" x14ac:dyDescent="0.2">
      <c r="A87" s="52">
        <v>38718</v>
      </c>
      <c r="B87" s="53">
        <v>60057501</v>
      </c>
      <c r="C87" s="29">
        <v>774.4</v>
      </c>
      <c r="D87" s="29">
        <v>0</v>
      </c>
      <c r="E87" s="53">
        <v>31</v>
      </c>
      <c r="F87" s="53">
        <v>0</v>
      </c>
      <c r="G87" s="53">
        <v>0</v>
      </c>
      <c r="H87" s="53">
        <v>256.7</v>
      </c>
      <c r="I87" s="66">
        <v>6.7</v>
      </c>
      <c r="J87" s="53">
        <f t="shared" si="13"/>
        <v>58954189.030347794</v>
      </c>
      <c r="K87" s="6">
        <v>134.18652630932939</v>
      </c>
      <c r="L87" s="1">
        <f t="shared" si="10"/>
        <v>53966.000000000087</v>
      </c>
      <c r="M87" s="38">
        <v>336.28800000000001</v>
      </c>
      <c r="N87" s="1">
        <f t="shared" si="11"/>
        <v>-1103311.9696522057</v>
      </c>
      <c r="O87" s="35">
        <f t="shared" si="12"/>
        <v>1.8370927049598779E-2</v>
      </c>
      <c r="P87" s="7"/>
      <c r="Q87" s="7"/>
      <c r="R87" s="7"/>
      <c r="S87" s="7"/>
      <c r="T87" s="7"/>
      <c r="U87" s="7"/>
      <c r="V87" s="7"/>
      <c r="Y87" s="24"/>
      <c r="Z87" s="24"/>
      <c r="AA87" s="24"/>
      <c r="AB87" s="26"/>
      <c r="AC87" s="26"/>
      <c r="AD87" s="26"/>
      <c r="AE87" s="25"/>
      <c r="AF87" s="25"/>
      <c r="AG87" s="25"/>
    </row>
    <row r="88" spans="1:33" x14ac:dyDescent="0.2">
      <c r="A88" s="52">
        <v>38749</v>
      </c>
      <c r="B88" s="53">
        <v>56039043</v>
      </c>
      <c r="C88" s="29">
        <v>819.9</v>
      </c>
      <c r="D88" s="29">
        <v>0</v>
      </c>
      <c r="E88" s="53">
        <v>28</v>
      </c>
      <c r="F88" s="53">
        <v>0</v>
      </c>
      <c r="G88" s="53">
        <v>0</v>
      </c>
      <c r="H88" s="53">
        <v>254.5</v>
      </c>
      <c r="I88" s="66">
        <v>7</v>
      </c>
      <c r="J88" s="53">
        <f t="shared" si="13"/>
        <v>56568502.659131847</v>
      </c>
      <c r="K88" s="6">
        <v>134.45199174641496</v>
      </c>
      <c r="L88" s="1">
        <f t="shared" si="10"/>
        <v>53985.916700000089</v>
      </c>
      <c r="M88" s="38">
        <v>319.87200000000001</v>
      </c>
      <c r="N88" s="1">
        <f t="shared" si="11"/>
        <v>529459.65913184732</v>
      </c>
      <c r="O88" s="35">
        <f t="shared" si="12"/>
        <v>9.4480496237569107E-3</v>
      </c>
      <c r="P88" s="24"/>
      <c r="Q88" s="24"/>
      <c r="R88" s="24"/>
      <c r="S88" s="24"/>
      <c r="T88" s="24"/>
      <c r="U88" s="24"/>
      <c r="V88" s="24"/>
      <c r="Y88" s="24"/>
      <c r="Z88" s="24"/>
      <c r="AA88" s="24"/>
      <c r="AB88" s="25"/>
      <c r="AC88" s="25"/>
      <c r="AD88" s="25"/>
      <c r="AE88" s="25"/>
      <c r="AF88" s="25"/>
      <c r="AG88" s="25"/>
    </row>
    <row r="89" spans="1:33" x14ac:dyDescent="0.2">
      <c r="A89" s="52">
        <v>38777</v>
      </c>
      <c r="B89" s="53">
        <v>55895027</v>
      </c>
      <c r="C89" s="29">
        <v>666.4</v>
      </c>
      <c r="D89" s="29">
        <v>0</v>
      </c>
      <c r="E89" s="53">
        <v>31</v>
      </c>
      <c r="F89" s="53">
        <v>1</v>
      </c>
      <c r="G89" s="53">
        <v>0</v>
      </c>
      <c r="H89" s="53">
        <v>252.9</v>
      </c>
      <c r="I89" s="66">
        <v>7.4</v>
      </c>
      <c r="J89" s="53">
        <f t="shared" si="13"/>
        <v>54286724.945919536</v>
      </c>
      <c r="K89" s="6">
        <v>134.71798236214718</v>
      </c>
      <c r="L89" s="1">
        <f t="shared" si="10"/>
        <v>54005.83340000009</v>
      </c>
      <c r="M89" s="38">
        <v>368.28</v>
      </c>
      <c r="N89" s="1">
        <f t="shared" si="11"/>
        <v>-1608302.0540804639</v>
      </c>
      <c r="O89" s="35">
        <f t="shared" si="12"/>
        <v>2.8773616194522348E-2</v>
      </c>
    </row>
    <row r="90" spans="1:33" x14ac:dyDescent="0.2">
      <c r="A90" s="52">
        <v>38808</v>
      </c>
      <c r="B90" s="53">
        <v>45424746</v>
      </c>
      <c r="C90" s="29">
        <v>368.2</v>
      </c>
      <c r="D90" s="29">
        <v>0</v>
      </c>
      <c r="E90" s="53">
        <v>30</v>
      </c>
      <c r="F90" s="53">
        <v>1</v>
      </c>
      <c r="G90" s="53">
        <v>0</v>
      </c>
      <c r="H90" s="53">
        <v>252</v>
      </c>
      <c r="I90" s="66">
        <v>7.4</v>
      </c>
      <c r="J90" s="53">
        <f t="shared" si="13"/>
        <v>45634023.254338555</v>
      </c>
      <c r="K90" s="6">
        <v>134.98449919550356</v>
      </c>
      <c r="L90" s="1">
        <f t="shared" si="10"/>
        <v>54025.750100000092</v>
      </c>
      <c r="M90" s="38">
        <v>303.83999999999997</v>
      </c>
      <c r="N90" s="1">
        <f t="shared" si="11"/>
        <v>209277.25433855504</v>
      </c>
      <c r="O90" s="35">
        <f t="shared" si="12"/>
        <v>4.6071199680138009E-3</v>
      </c>
    </row>
    <row r="91" spans="1:33" x14ac:dyDescent="0.2">
      <c r="A91" s="52">
        <v>38838</v>
      </c>
      <c r="B91" s="53">
        <v>43588455</v>
      </c>
      <c r="C91" s="29">
        <v>162.80000000000001</v>
      </c>
      <c r="D91" s="29">
        <v>14.5</v>
      </c>
      <c r="E91" s="53">
        <v>31</v>
      </c>
      <c r="F91" s="53">
        <v>1</v>
      </c>
      <c r="G91" s="53">
        <v>0</v>
      </c>
      <c r="H91" s="53">
        <v>254.1</v>
      </c>
      <c r="I91" s="66">
        <v>7.2</v>
      </c>
      <c r="J91" s="53">
        <f t="shared" si="13"/>
        <v>42893162.135718875</v>
      </c>
      <c r="K91" s="6">
        <v>135.25154328751699</v>
      </c>
      <c r="L91" s="1">
        <f t="shared" si="10"/>
        <v>54045.666800000094</v>
      </c>
      <c r="M91" s="38">
        <v>351.91199999999998</v>
      </c>
      <c r="N91" s="1">
        <f t="shared" si="11"/>
        <v>-695292.86428112537</v>
      </c>
      <c r="O91" s="35">
        <f t="shared" si="12"/>
        <v>1.5951307847023376E-2</v>
      </c>
    </row>
    <row r="92" spans="1:33" x14ac:dyDescent="0.2">
      <c r="A92" s="52">
        <v>38869</v>
      </c>
      <c r="B92" s="53">
        <v>43241594</v>
      </c>
      <c r="C92" s="29">
        <v>53</v>
      </c>
      <c r="D92" s="29">
        <v>31.7</v>
      </c>
      <c r="E92" s="53">
        <v>30</v>
      </c>
      <c r="F92" s="53">
        <v>0</v>
      </c>
      <c r="G92" s="53">
        <v>0</v>
      </c>
      <c r="H92" s="53">
        <v>255.8</v>
      </c>
      <c r="I92" s="66">
        <v>6.9</v>
      </c>
      <c r="J92" s="53">
        <f t="shared" si="13"/>
        <v>42265465.772516012</v>
      </c>
      <c r="K92" s="6">
        <v>135.51911568127991</v>
      </c>
      <c r="L92" s="1">
        <f t="shared" ref="L92:L121" si="14">L91+19.9167</f>
        <v>54065.583500000095</v>
      </c>
      <c r="M92" s="38">
        <v>352.08</v>
      </c>
      <c r="N92" s="1">
        <f t="shared" si="11"/>
        <v>-976128.22748398781</v>
      </c>
      <c r="O92" s="35">
        <f t="shared" si="12"/>
        <v>2.257382619808113E-2</v>
      </c>
    </row>
    <row r="93" spans="1:33" x14ac:dyDescent="0.2">
      <c r="A93" s="52">
        <v>38899</v>
      </c>
      <c r="B93" s="53">
        <v>44839273</v>
      </c>
      <c r="C93" s="29">
        <v>9.4</v>
      </c>
      <c r="D93" s="29">
        <v>81.400000000000006</v>
      </c>
      <c r="E93" s="53">
        <v>31</v>
      </c>
      <c r="F93" s="53">
        <v>0</v>
      </c>
      <c r="G93" s="53">
        <v>0</v>
      </c>
      <c r="H93" s="53">
        <v>260.60000000000002</v>
      </c>
      <c r="I93" s="66">
        <v>7.3</v>
      </c>
      <c r="J93" s="53">
        <f t="shared" si="13"/>
        <v>46538172.804528601</v>
      </c>
      <c r="K93" s="6">
        <v>135.78721742194836</v>
      </c>
      <c r="L93" s="1">
        <f t="shared" si="14"/>
        <v>54085.500200000097</v>
      </c>
      <c r="M93" s="38">
        <v>319.92</v>
      </c>
      <c r="N93" s="1">
        <f t="shared" si="11"/>
        <v>1698899.8045286015</v>
      </c>
      <c r="O93" s="35">
        <f t="shared" si="12"/>
        <v>3.7888656324303063E-2</v>
      </c>
    </row>
    <row r="94" spans="1:33" x14ac:dyDescent="0.2">
      <c r="A94" s="52">
        <v>38930</v>
      </c>
      <c r="B94" s="53">
        <v>43794723</v>
      </c>
      <c r="C94" s="29">
        <v>50.8</v>
      </c>
      <c r="D94" s="29">
        <v>25.4</v>
      </c>
      <c r="E94" s="53">
        <v>31</v>
      </c>
      <c r="F94" s="53">
        <v>0</v>
      </c>
      <c r="G94" s="53">
        <v>0</v>
      </c>
      <c r="H94" s="53">
        <v>262.8</v>
      </c>
      <c r="I94" s="66">
        <v>7.9</v>
      </c>
      <c r="J94" s="53">
        <f t="shared" si="13"/>
        <v>43131937.518027186</v>
      </c>
      <c r="K94" s="6">
        <v>136.05584955674595</v>
      </c>
      <c r="L94" s="1">
        <f t="shared" si="14"/>
        <v>54105.416900000098</v>
      </c>
      <c r="M94" s="38">
        <v>351.91199999999998</v>
      </c>
      <c r="N94" s="1">
        <f t="shared" si="11"/>
        <v>-662785.48197281361</v>
      </c>
      <c r="O94" s="35">
        <f t="shared" si="12"/>
        <v>1.5133911954936069E-2</v>
      </c>
    </row>
    <row r="95" spans="1:33" x14ac:dyDescent="0.2">
      <c r="A95" s="52">
        <v>38961</v>
      </c>
      <c r="B95" s="53">
        <v>41496399</v>
      </c>
      <c r="C95" s="29">
        <v>183.8</v>
      </c>
      <c r="D95" s="29">
        <v>0.1</v>
      </c>
      <c r="E95" s="53">
        <v>30</v>
      </c>
      <c r="F95" s="53">
        <v>1</v>
      </c>
      <c r="G95" s="53">
        <v>0</v>
      </c>
      <c r="H95" s="53">
        <v>262.8</v>
      </c>
      <c r="I95" s="66">
        <v>8</v>
      </c>
      <c r="J95" s="53">
        <f t="shared" si="13"/>
        <v>41464305.920024566</v>
      </c>
      <c r="K95" s="6">
        <v>136.32501313496817</v>
      </c>
      <c r="L95" s="1">
        <f t="shared" si="14"/>
        <v>54125.3336000001</v>
      </c>
      <c r="M95" s="38">
        <v>319.68</v>
      </c>
      <c r="N95" s="1">
        <f t="shared" si="11"/>
        <v>-32093.079975433648</v>
      </c>
      <c r="O95" s="35">
        <f t="shared" si="12"/>
        <v>7.7339433658890849E-4</v>
      </c>
    </row>
    <row r="96" spans="1:33" x14ac:dyDescent="0.2">
      <c r="A96" s="52">
        <v>38991</v>
      </c>
      <c r="B96" s="53">
        <v>46700377</v>
      </c>
      <c r="C96" s="29">
        <v>401.4</v>
      </c>
      <c r="D96" s="29">
        <v>0</v>
      </c>
      <c r="E96" s="53">
        <v>31</v>
      </c>
      <c r="F96" s="53">
        <v>1</v>
      </c>
      <c r="G96" s="53">
        <v>0</v>
      </c>
      <c r="H96" s="53">
        <v>260.8</v>
      </c>
      <c r="I96" s="66">
        <v>7.6</v>
      </c>
      <c r="J96" s="53">
        <f t="shared" si="13"/>
        <v>47971016.274666242</v>
      </c>
      <c r="K96" s="6">
        <v>136.59470920798631</v>
      </c>
      <c r="L96" s="1">
        <f t="shared" si="14"/>
        <v>54145.250300000102</v>
      </c>
      <c r="M96" s="38">
        <v>336.28800000000001</v>
      </c>
      <c r="N96" s="1">
        <f t="shared" si="11"/>
        <v>1270639.2746662423</v>
      </c>
      <c r="O96" s="35">
        <f t="shared" si="12"/>
        <v>2.7208330131173079E-2</v>
      </c>
    </row>
    <row r="97" spans="1:30" x14ac:dyDescent="0.2">
      <c r="A97" s="52">
        <v>39022</v>
      </c>
      <c r="B97" s="53">
        <v>49262976</v>
      </c>
      <c r="C97" s="29">
        <v>496.8</v>
      </c>
      <c r="D97" s="29">
        <v>0</v>
      </c>
      <c r="E97" s="53">
        <v>30</v>
      </c>
      <c r="F97" s="53">
        <v>1</v>
      </c>
      <c r="G97" s="53">
        <v>0</v>
      </c>
      <c r="H97" s="53">
        <v>261</v>
      </c>
      <c r="I97" s="66">
        <v>7.1</v>
      </c>
      <c r="J97" s="53">
        <f t="shared" si="13"/>
        <v>49224030.019064829</v>
      </c>
      <c r="K97" s="6">
        <v>136.8649388292516</v>
      </c>
      <c r="L97" s="1">
        <f t="shared" si="14"/>
        <v>54165.167000000103</v>
      </c>
      <c r="M97" s="38">
        <v>352.08</v>
      </c>
      <c r="N97" s="1">
        <f t="shared" si="11"/>
        <v>-38945.980935171247</v>
      </c>
      <c r="O97" s="35">
        <f t="shared" si="12"/>
        <v>7.9057304485971873E-4</v>
      </c>
    </row>
    <row r="98" spans="1:30" x14ac:dyDescent="0.2">
      <c r="A98" s="52">
        <v>39052</v>
      </c>
      <c r="B98" s="53">
        <v>55422684</v>
      </c>
      <c r="C98" s="29">
        <v>674.9</v>
      </c>
      <c r="D98" s="29">
        <v>0</v>
      </c>
      <c r="E98" s="53">
        <v>31</v>
      </c>
      <c r="F98" s="53">
        <v>0</v>
      </c>
      <c r="G98" s="53">
        <v>0</v>
      </c>
      <c r="H98" s="53">
        <v>263.8</v>
      </c>
      <c r="I98" s="66">
        <v>6.6</v>
      </c>
      <c r="J98" s="53">
        <f t="shared" si="13"/>
        <v>56751955.187921152</v>
      </c>
      <c r="K98" s="6">
        <v>137.13570305429951</v>
      </c>
      <c r="L98" s="1">
        <f t="shared" si="14"/>
        <v>54185.083700000105</v>
      </c>
      <c r="M98" s="38">
        <v>304.29599999999999</v>
      </c>
      <c r="N98" s="1">
        <f t="shared" si="11"/>
        <v>1329271.1879211515</v>
      </c>
      <c r="O98" s="35">
        <f t="shared" si="12"/>
        <v>2.3984244211650803E-2</v>
      </c>
    </row>
    <row r="99" spans="1:30" x14ac:dyDescent="0.2">
      <c r="A99" s="52">
        <v>39083</v>
      </c>
      <c r="B99" s="53">
        <v>62003361</v>
      </c>
      <c r="C99" s="29">
        <v>883.4</v>
      </c>
      <c r="D99" s="29">
        <v>0</v>
      </c>
      <c r="E99" s="53">
        <v>31</v>
      </c>
      <c r="F99" s="53">
        <v>0</v>
      </c>
      <c r="G99" s="53">
        <v>0</v>
      </c>
      <c r="H99" s="53">
        <v>263</v>
      </c>
      <c r="I99" s="66">
        <v>6.8</v>
      </c>
      <c r="J99" s="53">
        <f t="shared" si="13"/>
        <v>61942692.348265715</v>
      </c>
      <c r="K99" s="6">
        <v>137.36219381728966</v>
      </c>
      <c r="L99" s="1">
        <f t="shared" si="14"/>
        <v>54205.000400000106</v>
      </c>
      <c r="M99" s="38">
        <v>351.91199999999998</v>
      </c>
      <c r="N99" s="1">
        <f t="shared" ref="N99:N130" si="15">J99-B99</f>
        <v>-60668.651734285057</v>
      </c>
      <c r="O99" s="35">
        <f t="shared" ref="O99:O130" si="16">ABS(N99/B99)</f>
        <v>9.7847359813744701E-4</v>
      </c>
      <c r="AB99" s="22"/>
      <c r="AC99" s="22"/>
      <c r="AD99" s="22"/>
    </row>
    <row r="100" spans="1:30" x14ac:dyDescent="0.2">
      <c r="A100" s="52">
        <v>39114</v>
      </c>
      <c r="B100" s="53">
        <v>59454517</v>
      </c>
      <c r="C100" s="29">
        <v>909.1</v>
      </c>
      <c r="D100" s="29">
        <v>0</v>
      </c>
      <c r="E100" s="53">
        <v>28</v>
      </c>
      <c r="F100" s="53">
        <v>0</v>
      </c>
      <c r="G100" s="53">
        <v>0</v>
      </c>
      <c r="H100" s="53">
        <v>260.7</v>
      </c>
      <c r="I100" s="66">
        <v>7.3</v>
      </c>
      <c r="J100" s="53">
        <f t="shared" si="13"/>
        <v>59056872.687691905</v>
      </c>
      <c r="K100" s="6">
        <v>137.58905864818905</v>
      </c>
      <c r="L100" s="1">
        <f t="shared" si="14"/>
        <v>54224.917100000108</v>
      </c>
      <c r="M100" s="38">
        <v>319.87200000000001</v>
      </c>
      <c r="N100" s="1">
        <f t="shared" si="15"/>
        <v>-397644.3123080954</v>
      </c>
      <c r="O100" s="35">
        <f t="shared" si="16"/>
        <v>6.6882102886832873E-3</v>
      </c>
    </row>
    <row r="101" spans="1:30" x14ac:dyDescent="0.2">
      <c r="A101" s="52">
        <v>39142</v>
      </c>
      <c r="B101" s="53">
        <v>56496409</v>
      </c>
      <c r="C101" s="29">
        <v>691</v>
      </c>
      <c r="D101" s="29">
        <v>0</v>
      </c>
      <c r="E101" s="53">
        <v>31</v>
      </c>
      <c r="F101" s="53">
        <v>1</v>
      </c>
      <c r="G101" s="53">
        <v>0</v>
      </c>
      <c r="H101" s="53">
        <v>260</v>
      </c>
      <c r="I101" s="66">
        <v>7.6</v>
      </c>
      <c r="J101" s="53">
        <f t="shared" si="13"/>
        <v>55193520.297478318</v>
      </c>
      <c r="K101" s="6">
        <v>137.8162981648012</v>
      </c>
      <c r="L101" s="1">
        <f t="shared" si="14"/>
        <v>54244.833800000109</v>
      </c>
      <c r="M101" s="38">
        <v>351.91199999999998</v>
      </c>
      <c r="N101" s="1">
        <f t="shared" si="15"/>
        <v>-1302888.7025216818</v>
      </c>
      <c r="O101" s="35">
        <f t="shared" si="16"/>
        <v>2.3061442763940655E-2</v>
      </c>
    </row>
    <row r="102" spans="1:30" x14ac:dyDescent="0.2">
      <c r="A102" s="52">
        <v>39173</v>
      </c>
      <c r="B102" s="53">
        <v>47097957</v>
      </c>
      <c r="C102" s="29">
        <v>426.6</v>
      </c>
      <c r="D102" s="29">
        <v>0</v>
      </c>
      <c r="E102" s="53">
        <v>30</v>
      </c>
      <c r="F102" s="53">
        <v>1</v>
      </c>
      <c r="G102" s="53">
        <v>0</v>
      </c>
      <c r="H102" s="53">
        <v>261.3</v>
      </c>
      <c r="I102" s="66">
        <v>7.5</v>
      </c>
      <c r="J102" s="53">
        <f t="shared" si="13"/>
        <v>47477611.325168163</v>
      </c>
      <c r="K102" s="6">
        <v>138.04391298595004</v>
      </c>
      <c r="L102" s="1">
        <f t="shared" si="14"/>
        <v>54264.750500000111</v>
      </c>
      <c r="M102" s="38">
        <v>319.68</v>
      </c>
      <c r="N102" s="1">
        <f t="shared" si="15"/>
        <v>379654.32516816258</v>
      </c>
      <c r="O102" s="35">
        <f t="shared" si="16"/>
        <v>8.0609510337818387E-3</v>
      </c>
    </row>
    <row r="103" spans="1:30" x14ac:dyDescent="0.2">
      <c r="A103" s="52">
        <v>39203</v>
      </c>
      <c r="B103" s="53">
        <v>43141949.999999993</v>
      </c>
      <c r="C103" s="29">
        <v>189</v>
      </c>
      <c r="D103" s="29">
        <v>15.1</v>
      </c>
      <c r="E103" s="53">
        <v>31</v>
      </c>
      <c r="F103" s="53">
        <v>1</v>
      </c>
      <c r="G103" s="53">
        <v>0</v>
      </c>
      <c r="H103" s="53">
        <v>265.7</v>
      </c>
      <c r="I103" s="66">
        <v>7</v>
      </c>
      <c r="J103" s="53">
        <f t="shared" si="13"/>
        <v>44072734.515967607</v>
      </c>
      <c r="K103" s="6">
        <v>138.27190373148153</v>
      </c>
      <c r="L103" s="1">
        <f t="shared" si="14"/>
        <v>54284.667200000113</v>
      </c>
      <c r="M103" s="38">
        <v>351.91199999999998</v>
      </c>
      <c r="N103" s="1">
        <f t="shared" si="15"/>
        <v>930784.51596761495</v>
      </c>
      <c r="O103" s="35">
        <f t="shared" si="16"/>
        <v>2.1574929180707296E-2</v>
      </c>
    </row>
    <row r="104" spans="1:30" x14ac:dyDescent="0.2">
      <c r="A104" s="52">
        <v>39234</v>
      </c>
      <c r="B104" s="53">
        <v>43729150</v>
      </c>
      <c r="C104" s="29">
        <v>71.099999999999994</v>
      </c>
      <c r="D104" s="29">
        <v>55.8</v>
      </c>
      <c r="E104" s="53">
        <v>30</v>
      </c>
      <c r="F104" s="53">
        <v>0</v>
      </c>
      <c r="G104" s="53">
        <v>0</v>
      </c>
      <c r="H104" s="53">
        <v>268</v>
      </c>
      <c r="I104" s="66">
        <v>6.8</v>
      </c>
      <c r="J104" s="53">
        <f t="shared" si="13"/>
        <v>45169082.000017859</v>
      </c>
      <c r="K104" s="6">
        <v>138.50027102226537</v>
      </c>
      <c r="L104" s="1">
        <f t="shared" si="14"/>
        <v>54304.583900000114</v>
      </c>
      <c r="M104" s="38">
        <v>336.24</v>
      </c>
      <c r="N104" s="1">
        <f t="shared" si="15"/>
        <v>1439932.000017859</v>
      </c>
      <c r="O104" s="35">
        <f t="shared" si="16"/>
        <v>3.2928424175129381E-2</v>
      </c>
    </row>
    <row r="105" spans="1:30" x14ac:dyDescent="0.2">
      <c r="A105" s="52">
        <v>39264</v>
      </c>
      <c r="B105" s="53">
        <v>43830720</v>
      </c>
      <c r="C105" s="29">
        <v>34.200000000000003</v>
      </c>
      <c r="D105" s="29">
        <v>44.6</v>
      </c>
      <c r="E105" s="53">
        <v>31</v>
      </c>
      <c r="F105" s="53">
        <v>0</v>
      </c>
      <c r="G105" s="53">
        <v>0</v>
      </c>
      <c r="H105" s="53">
        <v>269.39999999999998</v>
      </c>
      <c r="I105" s="66">
        <v>6.5</v>
      </c>
      <c r="J105" s="53">
        <f t="shared" si="13"/>
        <v>44540425.540586427</v>
      </c>
      <c r="K105" s="6">
        <v>138.72901548019664</v>
      </c>
      <c r="L105" s="1">
        <f t="shared" si="14"/>
        <v>54324.500600000116</v>
      </c>
      <c r="M105" s="38">
        <v>336.28800000000001</v>
      </c>
      <c r="N105" s="1">
        <f t="shared" si="15"/>
        <v>709705.54058642685</v>
      </c>
      <c r="O105" s="35">
        <f t="shared" si="16"/>
        <v>1.619196628726215E-2</v>
      </c>
    </row>
    <row r="106" spans="1:30" x14ac:dyDescent="0.2">
      <c r="A106" s="52">
        <v>39295</v>
      </c>
      <c r="B106" s="53">
        <v>44858760</v>
      </c>
      <c r="C106" s="29">
        <v>36.799999999999997</v>
      </c>
      <c r="D106" s="29">
        <v>48.9</v>
      </c>
      <c r="E106" s="53">
        <v>31</v>
      </c>
      <c r="F106" s="53">
        <v>0</v>
      </c>
      <c r="G106" s="53">
        <v>0</v>
      </c>
      <c r="H106" s="53">
        <v>269</v>
      </c>
      <c r="I106" s="66">
        <v>6.6</v>
      </c>
      <c r="J106" s="53">
        <f t="shared" si="13"/>
        <v>44937298.570646048</v>
      </c>
      <c r="K106" s="6">
        <v>138.95813772819753</v>
      </c>
      <c r="L106" s="1">
        <f t="shared" si="14"/>
        <v>54344.417300000117</v>
      </c>
      <c r="M106" s="38">
        <v>351.91199999999998</v>
      </c>
      <c r="N106" s="1">
        <f t="shared" si="15"/>
        <v>78538.570646047592</v>
      </c>
      <c r="O106" s="35">
        <f t="shared" si="16"/>
        <v>1.7507967372715517E-3</v>
      </c>
    </row>
    <row r="107" spans="1:30" x14ac:dyDescent="0.2">
      <c r="A107" s="52">
        <v>39326</v>
      </c>
      <c r="B107" s="53">
        <v>41609690</v>
      </c>
      <c r="C107" s="29">
        <v>110</v>
      </c>
      <c r="D107" s="29">
        <v>13.7</v>
      </c>
      <c r="E107" s="53">
        <v>30</v>
      </c>
      <c r="F107" s="53">
        <v>1</v>
      </c>
      <c r="G107" s="53">
        <v>0</v>
      </c>
      <c r="H107" s="53">
        <v>266</v>
      </c>
      <c r="I107" s="66">
        <v>6.1</v>
      </c>
      <c r="J107" s="53">
        <f t="shared" si="13"/>
        <v>40847328.532747954</v>
      </c>
      <c r="K107" s="6">
        <v>139.18763839021906</v>
      </c>
      <c r="L107" s="1">
        <f t="shared" si="14"/>
        <v>54364.334000000119</v>
      </c>
      <c r="M107" s="38">
        <v>303.83999999999997</v>
      </c>
      <c r="N107" s="1">
        <f t="shared" si="15"/>
        <v>-762361.46725204587</v>
      </c>
      <c r="O107" s="35">
        <f t="shared" si="16"/>
        <v>1.8321729079261245E-2</v>
      </c>
    </row>
    <row r="108" spans="1:30" x14ac:dyDescent="0.2">
      <c r="A108" s="52">
        <v>39356</v>
      </c>
      <c r="B108" s="53">
        <v>44856839.999999993</v>
      </c>
      <c r="C108" s="29">
        <v>262</v>
      </c>
      <c r="D108" s="29">
        <v>0</v>
      </c>
      <c r="E108" s="53">
        <v>31</v>
      </c>
      <c r="F108" s="53">
        <v>1</v>
      </c>
      <c r="G108" s="53">
        <v>0</v>
      </c>
      <c r="H108" s="53">
        <v>265.60000000000002</v>
      </c>
      <c r="I108" s="66">
        <v>5.5</v>
      </c>
      <c r="J108" s="53">
        <f t="shared" si="13"/>
        <v>44675077.212955005</v>
      </c>
      <c r="K108" s="6">
        <v>139.41751809124278</v>
      </c>
      <c r="L108" s="1">
        <f t="shared" si="14"/>
        <v>54384.250700000121</v>
      </c>
      <c r="M108" s="38">
        <v>351.91199999999998</v>
      </c>
      <c r="N108" s="1">
        <f t="shared" si="15"/>
        <v>-181762.78704498708</v>
      </c>
      <c r="O108" s="35">
        <f t="shared" si="16"/>
        <v>4.0520640117535497E-3</v>
      </c>
    </row>
    <row r="109" spans="1:30" x14ac:dyDescent="0.2">
      <c r="A109" s="52">
        <v>39387</v>
      </c>
      <c r="B109" s="53">
        <v>51271030</v>
      </c>
      <c r="C109" s="29">
        <v>588.70000000000005</v>
      </c>
      <c r="D109" s="29">
        <v>0</v>
      </c>
      <c r="E109" s="53">
        <v>30</v>
      </c>
      <c r="F109" s="53">
        <v>1</v>
      </c>
      <c r="G109" s="53">
        <v>0</v>
      </c>
      <c r="H109" s="53">
        <v>261.10000000000002</v>
      </c>
      <c r="I109" s="66">
        <v>5.6</v>
      </c>
      <c r="J109" s="53">
        <f t="shared" si="13"/>
        <v>51530456.659642272</v>
      </c>
      <c r="K109" s="6">
        <v>139.64777745728242</v>
      </c>
      <c r="L109" s="1">
        <f t="shared" si="14"/>
        <v>54404.167400000122</v>
      </c>
      <c r="M109" s="38">
        <v>352.08</v>
      </c>
      <c r="N109" s="1">
        <f t="shared" si="15"/>
        <v>259426.6596422717</v>
      </c>
      <c r="O109" s="35">
        <f t="shared" si="16"/>
        <v>5.0599073130044728E-3</v>
      </c>
    </row>
    <row r="110" spans="1:30" x14ac:dyDescent="0.2">
      <c r="A110" s="52">
        <v>39417</v>
      </c>
      <c r="B110" s="53">
        <v>60289930</v>
      </c>
      <c r="C110" s="29">
        <v>833.8</v>
      </c>
      <c r="D110" s="29">
        <v>0</v>
      </c>
      <c r="E110" s="53">
        <v>31</v>
      </c>
      <c r="F110" s="53">
        <v>0</v>
      </c>
      <c r="G110" s="53">
        <v>0</v>
      </c>
      <c r="H110" s="53">
        <v>258.60000000000002</v>
      </c>
      <c r="I110" s="66">
        <v>6.1</v>
      </c>
      <c r="J110" s="53">
        <f t="shared" si="13"/>
        <v>60520053.932219952</v>
      </c>
      <c r="K110" s="6">
        <v>139.8784171153855</v>
      </c>
      <c r="L110" s="1">
        <f t="shared" si="14"/>
        <v>54424.084100000124</v>
      </c>
      <c r="M110" s="38">
        <v>304.29599999999999</v>
      </c>
      <c r="N110" s="1">
        <f t="shared" si="15"/>
        <v>230123.93221995234</v>
      </c>
      <c r="O110" s="35">
        <f t="shared" si="16"/>
        <v>3.8169547090194391E-3</v>
      </c>
    </row>
    <row r="111" spans="1:30" x14ac:dyDescent="0.2">
      <c r="A111" s="52">
        <v>39448</v>
      </c>
      <c r="B111" s="53">
        <v>61073577</v>
      </c>
      <c r="C111" s="55">
        <v>803.7</v>
      </c>
      <c r="D111" s="55">
        <v>0</v>
      </c>
      <c r="E111" s="53">
        <v>31</v>
      </c>
      <c r="F111" s="53">
        <v>0</v>
      </c>
      <c r="G111" s="53">
        <v>0</v>
      </c>
      <c r="H111" s="53">
        <v>254.6</v>
      </c>
      <c r="I111" s="66">
        <v>6.7</v>
      </c>
      <c r="J111" s="53">
        <f t="shared" si="13"/>
        <v>59602307.715661019</v>
      </c>
      <c r="K111" s="5">
        <v>139.98289565145978</v>
      </c>
      <c r="L111" s="1">
        <f t="shared" si="14"/>
        <v>54444.000800000125</v>
      </c>
      <c r="M111" s="39">
        <v>352</v>
      </c>
      <c r="N111" s="1">
        <f t="shared" si="15"/>
        <v>-1471269.2843389809</v>
      </c>
      <c r="O111" s="35">
        <f t="shared" si="16"/>
        <v>2.4090111577040607E-2</v>
      </c>
    </row>
    <row r="112" spans="1:30" x14ac:dyDescent="0.2">
      <c r="A112" s="52">
        <v>39479</v>
      </c>
      <c r="B112" s="53">
        <v>58581393</v>
      </c>
      <c r="C112" s="55">
        <v>840.1</v>
      </c>
      <c r="D112" s="55">
        <v>0</v>
      </c>
      <c r="E112" s="53">
        <v>29</v>
      </c>
      <c r="F112" s="53">
        <v>0</v>
      </c>
      <c r="G112" s="53">
        <v>0</v>
      </c>
      <c r="H112" s="53">
        <v>255.1</v>
      </c>
      <c r="I112" s="66">
        <v>6.6</v>
      </c>
      <c r="J112" s="53">
        <f t="shared" si="13"/>
        <v>58244303.420550466</v>
      </c>
      <c r="K112" s="5">
        <v>140.08745222505209</v>
      </c>
      <c r="L112" s="1">
        <f t="shared" si="14"/>
        <v>54463.917500000127</v>
      </c>
      <c r="M112" s="39">
        <v>320</v>
      </c>
      <c r="N112" s="1">
        <f t="shared" si="15"/>
        <v>-337089.57944953442</v>
      </c>
      <c r="O112" s="35">
        <f t="shared" si="16"/>
        <v>5.7542090105220682E-3</v>
      </c>
    </row>
    <row r="113" spans="1:17" x14ac:dyDescent="0.2">
      <c r="A113" s="52">
        <v>39508</v>
      </c>
      <c r="B113" s="53">
        <v>57220339</v>
      </c>
      <c r="C113" s="55">
        <v>762.1</v>
      </c>
      <c r="D113" s="55">
        <v>0</v>
      </c>
      <c r="E113" s="53">
        <v>31</v>
      </c>
      <c r="F113" s="53">
        <v>1</v>
      </c>
      <c r="G113" s="53">
        <v>0</v>
      </c>
      <c r="H113" s="53">
        <v>257.60000000000002</v>
      </c>
      <c r="I113" s="66">
        <v>6.9</v>
      </c>
      <c r="J113" s="53">
        <f t="shared" si="13"/>
        <v>56876563.48563917</v>
      </c>
      <c r="K113" s="5">
        <v>140.19208689445054</v>
      </c>
      <c r="L113" s="1">
        <f t="shared" si="14"/>
        <v>54483.834200000128</v>
      </c>
      <c r="M113" s="39">
        <v>304</v>
      </c>
      <c r="N113" s="1">
        <f t="shared" si="15"/>
        <v>-343775.51436083019</v>
      </c>
      <c r="O113" s="35">
        <f t="shared" si="16"/>
        <v>6.0079251603320661E-3</v>
      </c>
    </row>
    <row r="114" spans="1:17" x14ac:dyDescent="0.2">
      <c r="A114" s="52">
        <v>39539</v>
      </c>
      <c r="B114" s="53">
        <v>45833475</v>
      </c>
      <c r="C114" s="55">
        <v>345.5</v>
      </c>
      <c r="D114" s="55">
        <v>0.4</v>
      </c>
      <c r="E114" s="53">
        <v>30</v>
      </c>
      <c r="F114" s="53">
        <v>1</v>
      </c>
      <c r="G114" s="53">
        <v>0</v>
      </c>
      <c r="H114" s="53">
        <v>260.10000000000002</v>
      </c>
      <c r="I114" s="66">
        <v>6.9</v>
      </c>
      <c r="J114" s="53">
        <f t="shared" si="13"/>
        <v>45429127.314921126</v>
      </c>
      <c r="K114" s="5">
        <v>140.29679971798677</v>
      </c>
      <c r="L114" s="1">
        <f t="shared" si="14"/>
        <v>54503.75090000013</v>
      </c>
      <c r="M114" s="39">
        <v>352</v>
      </c>
      <c r="N114" s="1">
        <f t="shared" si="15"/>
        <v>-404347.68507887423</v>
      </c>
      <c r="O114" s="35">
        <f t="shared" si="16"/>
        <v>8.8221040424902152E-3</v>
      </c>
    </row>
    <row r="115" spans="1:17" x14ac:dyDescent="0.2">
      <c r="A115" s="52">
        <v>39569</v>
      </c>
      <c r="B115" s="53">
        <v>42639861</v>
      </c>
      <c r="C115" s="55">
        <v>261</v>
      </c>
      <c r="D115" s="55">
        <v>0</v>
      </c>
      <c r="E115" s="53">
        <v>31</v>
      </c>
      <c r="F115" s="53">
        <v>1</v>
      </c>
      <c r="G115" s="53">
        <v>0</v>
      </c>
      <c r="H115" s="53">
        <v>264.10000000000002</v>
      </c>
      <c r="I115" s="66">
        <v>6.4</v>
      </c>
      <c r="J115" s="53">
        <f t="shared" si="13"/>
        <v>44588651.131407976</v>
      </c>
      <c r="K115" s="5">
        <v>140.40159075403594</v>
      </c>
      <c r="L115" s="1">
        <f t="shared" si="14"/>
        <v>54523.667600000132</v>
      </c>
      <c r="M115" s="39">
        <v>336</v>
      </c>
      <c r="N115" s="1">
        <f t="shared" si="15"/>
        <v>1948790.1314079762</v>
      </c>
      <c r="O115" s="35">
        <f t="shared" si="16"/>
        <v>4.5703482274671962E-2</v>
      </c>
    </row>
    <row r="116" spans="1:17" x14ac:dyDescent="0.2">
      <c r="A116" s="52">
        <v>39600</v>
      </c>
      <c r="B116" s="53">
        <v>41817235</v>
      </c>
      <c r="C116" s="55">
        <v>53.8</v>
      </c>
      <c r="D116" s="55">
        <v>26.2</v>
      </c>
      <c r="E116" s="53">
        <v>30</v>
      </c>
      <c r="F116" s="53">
        <v>0</v>
      </c>
      <c r="G116" s="53">
        <v>0</v>
      </c>
      <c r="H116" s="53">
        <v>266.39999999999998</v>
      </c>
      <c r="I116" s="66">
        <v>5.8</v>
      </c>
      <c r="J116" s="53">
        <f t="shared" si="13"/>
        <v>42273966.332241006</v>
      </c>
      <c r="K116" s="5">
        <v>140.50646006101687</v>
      </c>
      <c r="L116" s="1">
        <f t="shared" si="14"/>
        <v>54543.584300000133</v>
      </c>
      <c r="M116" s="39">
        <v>336</v>
      </c>
      <c r="N116" s="1">
        <f t="shared" si="15"/>
        <v>456731.3322410062</v>
      </c>
      <c r="O116" s="35">
        <f t="shared" si="16"/>
        <v>1.0922083495979737E-2</v>
      </c>
    </row>
    <row r="117" spans="1:17" x14ac:dyDescent="0.2">
      <c r="A117" s="52">
        <v>39630</v>
      </c>
      <c r="B117" s="53">
        <v>44576231</v>
      </c>
      <c r="C117" s="55">
        <v>11.5</v>
      </c>
      <c r="D117" s="55">
        <v>38.299999999999997</v>
      </c>
      <c r="E117" s="53">
        <v>31</v>
      </c>
      <c r="F117" s="53">
        <v>0</v>
      </c>
      <c r="G117" s="53">
        <v>0</v>
      </c>
      <c r="H117" s="53">
        <v>269.60000000000002</v>
      </c>
      <c r="I117" s="66">
        <v>6</v>
      </c>
      <c r="J117" s="53">
        <f t="shared" si="13"/>
        <v>43469903.735001296</v>
      </c>
      <c r="K117" s="5">
        <v>140.611407697392</v>
      </c>
      <c r="L117" s="1">
        <f t="shared" si="14"/>
        <v>54563.501000000135</v>
      </c>
      <c r="M117" s="39">
        <v>352</v>
      </c>
      <c r="N117" s="1">
        <f t="shared" si="15"/>
        <v>-1106327.2649987042</v>
      </c>
      <c r="O117" s="35">
        <f t="shared" si="16"/>
        <v>2.4818770905030176E-2</v>
      </c>
    </row>
    <row r="118" spans="1:17" x14ac:dyDescent="0.2">
      <c r="A118" s="52">
        <v>39661</v>
      </c>
      <c r="B118" s="53">
        <v>43512092</v>
      </c>
      <c r="C118" s="55">
        <v>35.700000000000003</v>
      </c>
      <c r="D118" s="55">
        <v>21.7</v>
      </c>
      <c r="E118" s="53">
        <v>31</v>
      </c>
      <c r="F118" s="53">
        <v>0</v>
      </c>
      <c r="G118" s="53">
        <v>0</v>
      </c>
      <c r="H118" s="53">
        <v>270.60000000000002</v>
      </c>
      <c r="I118" s="66">
        <v>6.4</v>
      </c>
      <c r="J118" s="53">
        <f t="shared" si="13"/>
        <v>42773255.056128956</v>
      </c>
      <c r="K118" s="5">
        <v>140.71643372166741</v>
      </c>
      <c r="L118" s="1">
        <f t="shared" si="14"/>
        <v>54583.417700000136</v>
      </c>
      <c r="M118" s="39">
        <v>320</v>
      </c>
      <c r="N118" s="1">
        <f t="shared" si="15"/>
        <v>-738836.94387104362</v>
      </c>
      <c r="O118" s="35">
        <f t="shared" si="16"/>
        <v>1.6980037270353344E-2</v>
      </c>
    </row>
    <row r="119" spans="1:17" x14ac:dyDescent="0.2">
      <c r="A119" s="52">
        <v>39692</v>
      </c>
      <c r="B119" s="53">
        <v>42133287</v>
      </c>
      <c r="C119" s="55">
        <v>151</v>
      </c>
      <c r="D119" s="55">
        <v>6.9</v>
      </c>
      <c r="E119" s="53">
        <v>30</v>
      </c>
      <c r="F119" s="53">
        <v>1</v>
      </c>
      <c r="G119" s="53">
        <v>0</v>
      </c>
      <c r="H119" s="53">
        <v>271.10000000000002</v>
      </c>
      <c r="I119" s="66">
        <v>6.2</v>
      </c>
      <c r="J119" s="53">
        <f t="shared" si="13"/>
        <v>41532667.76609733</v>
      </c>
      <c r="K119" s="5">
        <v>140.82153819239289</v>
      </c>
      <c r="L119" s="1">
        <f t="shared" si="14"/>
        <v>54603.334400000138</v>
      </c>
      <c r="M119" s="39">
        <v>336</v>
      </c>
      <c r="N119" s="1">
        <f t="shared" si="15"/>
        <v>-600619.23390267044</v>
      </c>
      <c r="O119" s="35">
        <f t="shared" si="16"/>
        <v>1.4255219012527326E-2</v>
      </c>
    </row>
    <row r="120" spans="1:17" x14ac:dyDescent="0.2">
      <c r="A120" s="52">
        <v>39722</v>
      </c>
      <c r="B120" s="53">
        <v>46526477</v>
      </c>
      <c r="C120" s="55">
        <v>381.4</v>
      </c>
      <c r="D120" s="55">
        <v>0.7</v>
      </c>
      <c r="E120" s="53">
        <v>31</v>
      </c>
      <c r="F120" s="53">
        <v>1</v>
      </c>
      <c r="G120" s="53">
        <v>0</v>
      </c>
      <c r="H120" s="53">
        <v>270.89999999999998</v>
      </c>
      <c r="I120" s="66">
        <v>5.8</v>
      </c>
      <c r="J120" s="53">
        <f t="shared" si="13"/>
        <v>47939879.90154843</v>
      </c>
      <c r="K120" s="5">
        <v>140.926721168162</v>
      </c>
      <c r="L120" s="1">
        <f t="shared" si="14"/>
        <v>54623.25110000014</v>
      </c>
      <c r="M120" s="39">
        <v>352</v>
      </c>
      <c r="N120" s="1">
        <f t="shared" si="15"/>
        <v>1413402.9015484303</v>
      </c>
      <c r="O120" s="35">
        <f t="shared" si="16"/>
        <v>3.0378463891612303E-2</v>
      </c>
    </row>
    <row r="121" spans="1:17" x14ac:dyDescent="0.2">
      <c r="A121" s="52">
        <v>39753</v>
      </c>
      <c r="B121" s="53">
        <v>50346630</v>
      </c>
      <c r="C121" s="55">
        <v>559.4</v>
      </c>
      <c r="D121" s="55">
        <v>0</v>
      </c>
      <c r="E121" s="53">
        <v>30</v>
      </c>
      <c r="F121" s="53">
        <v>1</v>
      </c>
      <c r="G121" s="53">
        <v>0</v>
      </c>
      <c r="H121" s="53">
        <v>267.7</v>
      </c>
      <c r="I121" s="66">
        <v>5.4</v>
      </c>
      <c r="J121" s="53">
        <f t="shared" si="13"/>
        <v>51066458.381887481</v>
      </c>
      <c r="K121" s="5">
        <v>141.031982707612</v>
      </c>
      <c r="L121" s="1">
        <f t="shared" si="14"/>
        <v>54643.167800000141</v>
      </c>
      <c r="M121" s="39">
        <v>304</v>
      </c>
      <c r="N121" s="1">
        <f t="shared" si="15"/>
        <v>719828.38188748062</v>
      </c>
      <c r="O121" s="35">
        <f t="shared" si="16"/>
        <v>1.4297449141828969E-2</v>
      </c>
    </row>
    <row r="122" spans="1:17" x14ac:dyDescent="0.2">
      <c r="A122" s="52">
        <v>39783</v>
      </c>
      <c r="B122" s="53">
        <v>60643394</v>
      </c>
      <c r="C122" s="55">
        <v>869.7</v>
      </c>
      <c r="D122" s="55">
        <v>0</v>
      </c>
      <c r="E122" s="53">
        <v>31</v>
      </c>
      <c r="F122" s="53">
        <v>0</v>
      </c>
      <c r="G122" s="53">
        <v>0</v>
      </c>
      <c r="H122" s="53">
        <v>263.7</v>
      </c>
      <c r="I122" s="66">
        <v>5.8</v>
      </c>
      <c r="J122" s="53">
        <f t="shared" si="13"/>
        <v>61628112.511208512</v>
      </c>
      <c r="K122" s="5">
        <v>141.13732286942397</v>
      </c>
      <c r="L122" s="1">
        <f>L121+19.9167</f>
        <v>54663.084500000143</v>
      </c>
      <c r="M122" s="39">
        <v>336</v>
      </c>
      <c r="N122" s="1">
        <f t="shared" si="15"/>
        <v>984718.51120851189</v>
      </c>
      <c r="O122" s="35">
        <f t="shared" si="16"/>
        <v>1.6237852901315384E-2</v>
      </c>
    </row>
    <row r="123" spans="1:17" x14ac:dyDescent="0.2">
      <c r="A123" s="52">
        <v>39814</v>
      </c>
      <c r="B123" s="53">
        <v>66435130</v>
      </c>
      <c r="C123" s="54">
        <v>1046.0999999999999</v>
      </c>
      <c r="D123" s="54">
        <v>0</v>
      </c>
      <c r="E123" s="53">
        <v>31</v>
      </c>
      <c r="F123" s="53">
        <v>0</v>
      </c>
      <c r="G123" s="53">
        <v>0</v>
      </c>
      <c r="H123" s="53">
        <v>258.2</v>
      </c>
      <c r="I123" s="66">
        <v>6</v>
      </c>
      <c r="J123" s="53">
        <f t="shared" si="13"/>
        <v>65822357.277985498</v>
      </c>
      <c r="K123" s="5">
        <v>140.70675957794839</v>
      </c>
      <c r="L123" s="1">
        <f>+L122+(19.9167/2)</f>
        <v>54673.042850000144</v>
      </c>
      <c r="M123" s="39">
        <v>336</v>
      </c>
      <c r="N123" s="1">
        <f t="shared" si="15"/>
        <v>-612772.72201450169</v>
      </c>
      <c r="O123" s="35">
        <f t="shared" si="16"/>
        <v>9.2236249408182338E-3</v>
      </c>
    </row>
    <row r="124" spans="1:17" x14ac:dyDescent="0.2">
      <c r="A124" s="52">
        <v>39845</v>
      </c>
      <c r="B124" s="53">
        <v>54391300</v>
      </c>
      <c r="C124" s="54">
        <v>773.1</v>
      </c>
      <c r="D124" s="54">
        <v>0</v>
      </c>
      <c r="E124" s="53">
        <v>28</v>
      </c>
      <c r="F124" s="53">
        <v>0</v>
      </c>
      <c r="G124" s="53">
        <v>0</v>
      </c>
      <c r="H124" s="53">
        <v>252.9</v>
      </c>
      <c r="I124" s="66">
        <v>6.7</v>
      </c>
      <c r="J124" s="53">
        <f t="shared" si="13"/>
        <v>55330575.366844028</v>
      </c>
      <c r="K124" s="5">
        <v>140.27750979266801</v>
      </c>
      <c r="L124" s="1">
        <f>+L123+(19.9167/2)</f>
        <v>54683.001200000144</v>
      </c>
      <c r="M124" s="39">
        <v>304</v>
      </c>
      <c r="N124" s="1">
        <f t="shared" si="15"/>
        <v>939275.36684402823</v>
      </c>
      <c r="O124" s="35">
        <f t="shared" si="16"/>
        <v>1.7268853048999163E-2</v>
      </c>
    </row>
    <row r="125" spans="1:17" x14ac:dyDescent="0.2">
      <c r="A125" s="52">
        <v>39873</v>
      </c>
      <c r="B125" s="53">
        <v>54188320</v>
      </c>
      <c r="C125" s="54">
        <v>671.1</v>
      </c>
      <c r="D125" s="54">
        <v>0</v>
      </c>
      <c r="E125" s="53">
        <v>31</v>
      </c>
      <c r="F125" s="53">
        <v>1</v>
      </c>
      <c r="G125" s="53">
        <v>0</v>
      </c>
      <c r="H125" s="53">
        <v>248.4</v>
      </c>
      <c r="I125" s="66">
        <v>7.6</v>
      </c>
      <c r="J125" s="53">
        <f t="shared" si="13"/>
        <v>54220351.816457234</v>
      </c>
      <c r="K125" s="5">
        <v>139.84956950650991</v>
      </c>
      <c r="L125" s="1">
        <f t="shared" ref="L125:L170" si="17">+L124+(19.9167/2)</f>
        <v>54692.959550000145</v>
      </c>
      <c r="M125" s="39">
        <v>352</v>
      </c>
      <c r="N125" s="1">
        <f t="shared" si="15"/>
        <v>32031.816457234323</v>
      </c>
      <c r="O125" s="35">
        <f t="shared" si="16"/>
        <v>5.9112030890114923E-4</v>
      </c>
    </row>
    <row r="126" spans="1:17" x14ac:dyDescent="0.2">
      <c r="A126" s="52">
        <v>39904</v>
      </c>
      <c r="B126" s="53">
        <v>45313310</v>
      </c>
      <c r="C126" s="54">
        <v>421.4</v>
      </c>
      <c r="D126" s="54">
        <v>0.09</v>
      </c>
      <c r="E126" s="53">
        <v>30</v>
      </c>
      <c r="F126" s="53">
        <v>1</v>
      </c>
      <c r="G126" s="53">
        <v>0</v>
      </c>
      <c r="H126" s="53">
        <v>245.2</v>
      </c>
      <c r="I126" s="66">
        <v>8.6999999999999993</v>
      </c>
      <c r="J126" s="53">
        <f t="shared" si="13"/>
        <v>46695881.704496711</v>
      </c>
      <c r="K126" s="5">
        <v>139.42293472462535</v>
      </c>
      <c r="L126" s="1">
        <f t="shared" si="17"/>
        <v>54702.917900000146</v>
      </c>
      <c r="M126" s="39">
        <v>320</v>
      </c>
      <c r="N126" s="1">
        <f t="shared" si="15"/>
        <v>1382571.7044967115</v>
      </c>
      <c r="O126" s="35">
        <f t="shared" si="16"/>
        <v>3.0511381854398001E-2</v>
      </c>
    </row>
    <row r="127" spans="1:17" x14ac:dyDescent="0.2">
      <c r="A127" s="52">
        <v>39934</v>
      </c>
      <c r="B127" s="53">
        <v>40746061.538461536</v>
      </c>
      <c r="C127" s="54">
        <v>257.10000000000002</v>
      </c>
      <c r="D127" s="54">
        <v>0</v>
      </c>
      <c r="E127" s="53">
        <v>31</v>
      </c>
      <c r="F127" s="53">
        <v>1</v>
      </c>
      <c r="G127" s="53">
        <v>0</v>
      </c>
      <c r="H127" s="53">
        <v>247</v>
      </c>
      <c r="I127" s="66">
        <v>9.3000000000000007</v>
      </c>
      <c r="J127" s="53">
        <f t="shared" si="13"/>
        <v>43791288.394478463</v>
      </c>
      <c r="K127" s="5">
        <v>138.99760146435258</v>
      </c>
      <c r="L127" s="1">
        <f t="shared" si="17"/>
        <v>54712.876250000147</v>
      </c>
      <c r="M127" s="39">
        <v>320</v>
      </c>
      <c r="N127" s="1">
        <f t="shared" si="15"/>
        <v>3045226.8560169265</v>
      </c>
      <c r="O127" s="35">
        <f t="shared" si="16"/>
        <v>7.4736716655238872E-2</v>
      </c>
      <c r="Q127" s="28"/>
    </row>
    <row r="128" spans="1:17" x14ac:dyDescent="0.2">
      <c r="A128" s="52">
        <v>39965</v>
      </c>
      <c r="B128" s="53">
        <v>41206069.230769232</v>
      </c>
      <c r="C128" s="54">
        <v>85.2</v>
      </c>
      <c r="D128" s="54">
        <v>34.1</v>
      </c>
      <c r="E128" s="53">
        <v>30</v>
      </c>
      <c r="F128" s="53">
        <v>0</v>
      </c>
      <c r="G128" s="53">
        <v>0</v>
      </c>
      <c r="H128" s="53">
        <v>253.2</v>
      </c>
      <c r="I128" s="66">
        <v>9.1</v>
      </c>
      <c r="J128" s="53">
        <f t="shared" si="13"/>
        <v>43160068.976030104</v>
      </c>
      <c r="K128" s="5">
        <v>138.57356575517966</v>
      </c>
      <c r="L128" s="1">
        <f t="shared" si="17"/>
        <v>54722.834600000147</v>
      </c>
      <c r="M128" s="39">
        <v>352</v>
      </c>
      <c r="N128" s="1">
        <f t="shared" si="15"/>
        <v>1953999.7452608719</v>
      </c>
      <c r="O128" s="35">
        <f t="shared" si="16"/>
        <v>4.7420192746795396E-2</v>
      </c>
      <c r="Q128" s="28"/>
    </row>
    <row r="129" spans="1:17" x14ac:dyDescent="0.2">
      <c r="A129" s="52">
        <v>39995</v>
      </c>
      <c r="B129" s="53">
        <v>41748515.384615384</v>
      </c>
      <c r="C129" s="54">
        <v>46.3</v>
      </c>
      <c r="D129" s="54">
        <v>13.6</v>
      </c>
      <c r="E129" s="53">
        <v>31</v>
      </c>
      <c r="F129" s="53">
        <v>0</v>
      </c>
      <c r="G129" s="53">
        <v>0</v>
      </c>
      <c r="H129" s="53">
        <v>258.7</v>
      </c>
      <c r="I129" s="66">
        <v>9.6</v>
      </c>
      <c r="J129" s="53">
        <f t="shared" si="13"/>
        <v>41896188.599997342</v>
      </c>
      <c r="K129" s="5">
        <v>138.15082363870732</v>
      </c>
      <c r="L129" s="1">
        <f t="shared" si="17"/>
        <v>54732.792950000148</v>
      </c>
      <c r="M129" s="39">
        <v>352</v>
      </c>
      <c r="N129" s="1">
        <f t="shared" si="15"/>
        <v>147673.21538195759</v>
      </c>
      <c r="O129" s="35">
        <f t="shared" si="16"/>
        <v>3.5372087850667902E-3</v>
      </c>
      <c r="Q129" s="28"/>
    </row>
    <row r="130" spans="1:17" x14ac:dyDescent="0.2">
      <c r="A130" s="52">
        <v>40026</v>
      </c>
      <c r="B130" s="53">
        <v>42834530.769230768</v>
      </c>
      <c r="C130" s="54">
        <v>60.9</v>
      </c>
      <c r="D130" s="54">
        <v>35.6</v>
      </c>
      <c r="E130" s="53">
        <v>31</v>
      </c>
      <c r="F130" s="53">
        <v>0</v>
      </c>
      <c r="G130" s="53">
        <v>0</v>
      </c>
      <c r="H130" s="53">
        <v>260.39999999999998</v>
      </c>
      <c r="I130" s="66">
        <v>9.9</v>
      </c>
      <c r="J130" s="53">
        <f t="shared" si="13"/>
        <v>44112502.855193757</v>
      </c>
      <c r="K130" s="5">
        <v>137.72937116861209</v>
      </c>
      <c r="L130" s="1">
        <f t="shared" si="17"/>
        <v>54742.751300000149</v>
      </c>
      <c r="M130" s="39">
        <v>320</v>
      </c>
      <c r="N130" s="1">
        <f t="shared" si="15"/>
        <v>1277972.0859629884</v>
      </c>
      <c r="O130" s="35">
        <f t="shared" si="16"/>
        <v>2.9835090125021078E-2</v>
      </c>
      <c r="Q130" s="28"/>
    </row>
    <row r="131" spans="1:17" x14ac:dyDescent="0.2">
      <c r="A131" s="52">
        <v>40057</v>
      </c>
      <c r="B131" s="53">
        <v>40869246.153846152</v>
      </c>
      <c r="C131" s="54">
        <v>126.2</v>
      </c>
      <c r="D131" s="54">
        <v>4.9000000000000004</v>
      </c>
      <c r="E131" s="53">
        <v>30</v>
      </c>
      <c r="F131" s="53">
        <v>1</v>
      </c>
      <c r="G131" s="53">
        <v>0</v>
      </c>
      <c r="H131" s="53">
        <v>255.3</v>
      </c>
      <c r="I131" s="66">
        <v>10.1</v>
      </c>
      <c r="J131" s="53">
        <f t="shared" si="13"/>
        <v>40102987.632939756</v>
      </c>
      <c r="K131" s="5">
        <v>137.30920441060942</v>
      </c>
      <c r="L131" s="1">
        <f t="shared" si="17"/>
        <v>54752.70965000015</v>
      </c>
      <c r="M131" s="39">
        <v>336</v>
      </c>
      <c r="N131" s="1">
        <f t="shared" ref="N131:N162" si="18">J131-B131</f>
        <v>-766258.52090639621</v>
      </c>
      <c r="O131" s="35">
        <f t="shared" ref="O131:O162" si="19">ABS(N131/B131)</f>
        <v>1.8749025074304794E-2</v>
      </c>
      <c r="Q131" s="28"/>
    </row>
    <row r="132" spans="1:17" x14ac:dyDescent="0.2">
      <c r="A132" s="52">
        <v>40087</v>
      </c>
      <c r="B132" s="53">
        <v>46305269.230769232</v>
      </c>
      <c r="C132" s="54">
        <v>409.4</v>
      </c>
      <c r="D132" s="54">
        <v>0</v>
      </c>
      <c r="E132" s="53">
        <v>31</v>
      </c>
      <c r="F132" s="53">
        <v>1</v>
      </c>
      <c r="G132" s="53">
        <v>0</v>
      </c>
      <c r="H132" s="53">
        <v>249.3</v>
      </c>
      <c r="I132" s="66">
        <v>9.6999999999999993</v>
      </c>
      <c r="J132" s="53">
        <f t="shared" ref="J132:J195" si="20">$Q$19+C132*$Q$20+D132*$Q$21+E132*$Q$22+F132*$Q$23+G132*$Q$24+H132*$Q$25</f>
        <v>47700907.243126169</v>
      </c>
      <c r="K132" s="5">
        <v>136.89031944241697</v>
      </c>
      <c r="L132" s="1">
        <f t="shared" si="17"/>
        <v>54762.668000000151</v>
      </c>
      <c r="M132" s="39">
        <v>336</v>
      </c>
      <c r="N132" s="1">
        <f t="shared" si="18"/>
        <v>1395638.0123569369</v>
      </c>
      <c r="O132" s="35">
        <f t="shared" si="19"/>
        <v>3.0139939482946666E-2</v>
      </c>
      <c r="Q132" s="28"/>
    </row>
    <row r="133" spans="1:17" x14ac:dyDescent="0.2">
      <c r="A133" s="52">
        <v>40118</v>
      </c>
      <c r="B133" s="53">
        <v>47482200</v>
      </c>
      <c r="C133" s="54">
        <v>453.8</v>
      </c>
      <c r="D133" s="54">
        <v>0</v>
      </c>
      <c r="E133" s="53">
        <v>30</v>
      </c>
      <c r="F133" s="53">
        <v>1</v>
      </c>
      <c r="G133" s="53">
        <v>0</v>
      </c>
      <c r="H133" s="53">
        <v>246.5</v>
      </c>
      <c r="I133" s="66">
        <v>9.3000000000000007</v>
      </c>
      <c r="J133" s="53">
        <f t="shared" si="20"/>
        <v>47553490.818747491</v>
      </c>
      <c r="K133" s="5">
        <v>136.47271235371795</v>
      </c>
      <c r="L133" s="1">
        <f t="shared" si="17"/>
        <v>54772.626350000151</v>
      </c>
      <c r="M133" s="39">
        <v>320</v>
      </c>
      <c r="N133" s="1">
        <f t="shared" si="18"/>
        <v>71290.818747490644</v>
      </c>
      <c r="O133" s="35">
        <f t="shared" si="19"/>
        <v>1.5014219801839561E-3</v>
      </c>
      <c r="Q133" s="28"/>
    </row>
    <row r="134" spans="1:17" x14ac:dyDescent="0.2">
      <c r="A134" s="52">
        <v>40148</v>
      </c>
      <c r="B134" s="53">
        <v>58800730.769230768</v>
      </c>
      <c r="C134" s="54">
        <v>824.4</v>
      </c>
      <c r="D134" s="54">
        <v>0</v>
      </c>
      <c r="E134" s="53">
        <v>31</v>
      </c>
      <c r="F134" s="53">
        <v>0</v>
      </c>
      <c r="G134" s="53">
        <v>0</v>
      </c>
      <c r="H134" s="53">
        <v>245.3</v>
      </c>
      <c r="I134" s="66">
        <v>9.4</v>
      </c>
      <c r="J134" s="53">
        <f t="shared" si="20"/>
        <v>59740381.282577157</v>
      </c>
      <c r="K134" s="5">
        <v>136.05637924612469</v>
      </c>
      <c r="L134" s="1">
        <f t="shared" si="17"/>
        <v>54782.584700000152</v>
      </c>
      <c r="M134" s="39">
        <v>352</v>
      </c>
      <c r="N134" s="1">
        <f t="shared" si="18"/>
        <v>939650.51334638894</v>
      </c>
      <c r="O134" s="35">
        <f t="shared" si="19"/>
        <v>1.5980252303906553E-2</v>
      </c>
      <c r="Q134" s="28"/>
    </row>
    <row r="135" spans="1:17" x14ac:dyDescent="0.2">
      <c r="A135" s="52">
        <v>40179</v>
      </c>
      <c r="B135" s="53">
        <v>61714800.000000007</v>
      </c>
      <c r="C135" s="54">
        <v>887.4</v>
      </c>
      <c r="D135" s="54">
        <v>0</v>
      </c>
      <c r="E135" s="53">
        <v>31</v>
      </c>
      <c r="F135" s="53">
        <v>0</v>
      </c>
      <c r="G135" s="53">
        <v>0</v>
      </c>
      <c r="H135" s="53">
        <v>245.8</v>
      </c>
      <c r="I135" s="66">
        <v>9.3000000000000007</v>
      </c>
      <c r="J135" s="53">
        <f t="shared" si="20"/>
        <v>61339153.684374765</v>
      </c>
      <c r="K135" s="5">
        <v>136.41398125617567</v>
      </c>
      <c r="L135" s="1">
        <f t="shared" si="17"/>
        <v>54792.543050000153</v>
      </c>
      <c r="M135" s="39">
        <v>320</v>
      </c>
      <c r="N135" s="1">
        <f t="shared" si="18"/>
        <v>-375646.31562524289</v>
      </c>
      <c r="O135" s="35">
        <f t="shared" si="19"/>
        <v>6.086810872355462E-3</v>
      </c>
      <c r="Q135" s="28"/>
    </row>
    <row r="136" spans="1:17" x14ac:dyDescent="0.2">
      <c r="A136" s="52">
        <v>40210</v>
      </c>
      <c r="B136" s="53">
        <v>54321930.769230768</v>
      </c>
      <c r="C136" s="54">
        <v>753</v>
      </c>
      <c r="D136" s="54">
        <v>0</v>
      </c>
      <c r="E136" s="53">
        <v>28</v>
      </c>
      <c r="F136" s="53">
        <v>0</v>
      </c>
      <c r="G136" s="53">
        <v>0</v>
      </c>
      <c r="H136" s="53">
        <v>243.5</v>
      </c>
      <c r="I136" s="66">
        <v>9.4</v>
      </c>
      <c r="J136" s="53">
        <f t="shared" si="20"/>
        <v>54442410.784823775</v>
      </c>
      <c r="K136" s="5">
        <v>136.77252316480622</v>
      </c>
      <c r="L136" s="1">
        <f t="shared" si="17"/>
        <v>54802.501400000154</v>
      </c>
      <c r="M136" s="39">
        <v>304</v>
      </c>
      <c r="N136" s="1">
        <f t="shared" si="18"/>
        <v>120480.01559300721</v>
      </c>
      <c r="O136" s="35">
        <f t="shared" si="19"/>
        <v>2.2178890530387767E-3</v>
      </c>
      <c r="Q136" s="28"/>
    </row>
    <row r="137" spans="1:17" x14ac:dyDescent="0.2">
      <c r="A137" s="52">
        <v>40238</v>
      </c>
      <c r="B137" s="53">
        <v>50859730.769230768</v>
      </c>
      <c r="C137" s="54">
        <v>501.3</v>
      </c>
      <c r="D137" s="54">
        <v>0</v>
      </c>
      <c r="E137" s="53">
        <v>31</v>
      </c>
      <c r="F137" s="53">
        <v>1</v>
      </c>
      <c r="G137" s="53">
        <v>0</v>
      </c>
      <c r="H137" s="53">
        <v>242.2</v>
      </c>
      <c r="I137" s="66">
        <v>10.199999999999999</v>
      </c>
      <c r="J137" s="53">
        <f t="shared" si="20"/>
        <v>49712741.231610104</v>
      </c>
      <c r="K137" s="5">
        <v>137.13200744238648</v>
      </c>
      <c r="L137" s="1">
        <f t="shared" si="17"/>
        <v>54812.459750000155</v>
      </c>
      <c r="M137" s="39">
        <v>368</v>
      </c>
      <c r="N137" s="1">
        <f t="shared" si="18"/>
        <v>-1146989.5376206636</v>
      </c>
      <c r="O137" s="35">
        <f t="shared" si="19"/>
        <v>2.255201748560124E-2</v>
      </c>
      <c r="Q137" s="28"/>
    </row>
    <row r="138" spans="1:17" x14ac:dyDescent="0.2">
      <c r="A138" s="52">
        <v>40269</v>
      </c>
      <c r="B138" s="53">
        <v>44050484.615384616</v>
      </c>
      <c r="C138" s="54">
        <v>314.5</v>
      </c>
      <c r="D138" s="54">
        <v>0.1</v>
      </c>
      <c r="E138" s="53">
        <v>30</v>
      </c>
      <c r="F138" s="53">
        <v>1</v>
      </c>
      <c r="G138" s="53">
        <v>0</v>
      </c>
      <c r="H138" s="53">
        <v>245.3</v>
      </c>
      <c r="I138" s="66">
        <v>10.4</v>
      </c>
      <c r="J138" s="53">
        <f t="shared" si="20"/>
        <v>44022658.548420101</v>
      </c>
      <c r="K138" s="5">
        <v>137.49243656577963</v>
      </c>
      <c r="L138" s="1">
        <f t="shared" si="17"/>
        <v>54822.418100000155</v>
      </c>
      <c r="M138" s="39">
        <v>320</v>
      </c>
      <c r="N138" s="1">
        <f t="shared" si="18"/>
        <v>-27826.066964514554</v>
      </c>
      <c r="O138" s="35">
        <f t="shared" si="19"/>
        <v>6.3168583064342296E-4</v>
      </c>
      <c r="Q138" s="28"/>
    </row>
    <row r="139" spans="1:17" x14ac:dyDescent="0.2">
      <c r="A139" s="52">
        <v>40299</v>
      </c>
      <c r="B139" s="53">
        <v>44651823.07692308</v>
      </c>
      <c r="C139" s="54">
        <v>147.69999999999999</v>
      </c>
      <c r="D139" s="54">
        <v>29.2</v>
      </c>
      <c r="E139" s="53">
        <v>31</v>
      </c>
      <c r="F139" s="53">
        <v>1</v>
      </c>
      <c r="G139" s="53">
        <v>0</v>
      </c>
      <c r="H139" s="53">
        <v>249.4</v>
      </c>
      <c r="I139" s="66">
        <v>10.5</v>
      </c>
      <c r="J139" s="53">
        <f t="shared" si="20"/>
        <v>43512588.965461478</v>
      </c>
      <c r="K139" s="5">
        <v>137.85381301835881</v>
      </c>
      <c r="L139" s="1">
        <f t="shared" si="17"/>
        <v>54832.376450000156</v>
      </c>
      <c r="M139" s="39">
        <v>320</v>
      </c>
      <c r="N139" s="1">
        <f t="shared" si="18"/>
        <v>-1139234.1114616022</v>
      </c>
      <c r="O139" s="35">
        <f t="shared" si="19"/>
        <v>2.5513719999718895E-2</v>
      </c>
      <c r="Q139" s="28"/>
    </row>
    <row r="140" spans="1:17" x14ac:dyDescent="0.2">
      <c r="A140" s="52">
        <v>40330</v>
      </c>
      <c r="B140" s="53">
        <v>42680284.615384616</v>
      </c>
      <c r="C140" s="54">
        <v>71.2</v>
      </c>
      <c r="D140" s="54">
        <v>7.1</v>
      </c>
      <c r="E140" s="53">
        <v>30</v>
      </c>
      <c r="F140" s="53">
        <v>0</v>
      </c>
      <c r="G140" s="53">
        <v>0</v>
      </c>
      <c r="H140" s="53">
        <v>259.2</v>
      </c>
      <c r="I140" s="66">
        <v>9.1</v>
      </c>
      <c r="J140" s="53">
        <f t="shared" si="20"/>
        <v>40869066.418788366</v>
      </c>
      <c r="K140" s="5">
        <v>138.21613929002433</v>
      </c>
      <c r="L140" s="1">
        <f t="shared" si="17"/>
        <v>54842.334800000157</v>
      </c>
      <c r="M140" s="39">
        <v>352</v>
      </c>
      <c r="N140" s="1">
        <f t="shared" si="18"/>
        <v>-1811218.1965962499</v>
      </c>
      <c r="O140" s="35">
        <f t="shared" si="19"/>
        <v>4.2436881874573416E-2</v>
      </c>
      <c r="Q140" s="28"/>
    </row>
    <row r="141" spans="1:17" x14ac:dyDescent="0.2">
      <c r="A141" s="52">
        <v>40360</v>
      </c>
      <c r="B141" s="53">
        <v>47940330.769230768</v>
      </c>
      <c r="C141" s="54">
        <v>11</v>
      </c>
      <c r="D141" s="54">
        <v>90.4</v>
      </c>
      <c r="E141" s="53">
        <v>31</v>
      </c>
      <c r="F141" s="53">
        <v>0</v>
      </c>
      <c r="G141" s="53">
        <v>0</v>
      </c>
      <c r="H141" s="53">
        <v>261.10000000000002</v>
      </c>
      <c r="I141" s="66">
        <v>9</v>
      </c>
      <c r="J141" s="53">
        <f t="shared" si="20"/>
        <v>47327301.427679382</v>
      </c>
      <c r="K141" s="5">
        <v>138.57941787722081</v>
      </c>
      <c r="L141" s="1">
        <f t="shared" si="17"/>
        <v>54852.293150000158</v>
      </c>
      <c r="M141" s="39">
        <v>336</v>
      </c>
      <c r="N141" s="1">
        <f t="shared" si="18"/>
        <v>-613029.34155138582</v>
      </c>
      <c r="O141" s="35">
        <f t="shared" si="19"/>
        <v>1.2787340673603414E-2</v>
      </c>
      <c r="Q141" s="28"/>
    </row>
    <row r="142" spans="1:17" x14ac:dyDescent="0.2">
      <c r="A142" s="52">
        <v>40391</v>
      </c>
      <c r="B142" s="53">
        <v>46659623.07692308</v>
      </c>
      <c r="C142" s="54">
        <v>29.4</v>
      </c>
      <c r="D142" s="54">
        <v>69.7</v>
      </c>
      <c r="E142" s="53">
        <v>31</v>
      </c>
      <c r="F142" s="53">
        <v>0</v>
      </c>
      <c r="G142" s="53">
        <v>0</v>
      </c>
      <c r="H142" s="53">
        <v>261.2</v>
      </c>
      <c r="I142" s="66">
        <v>9.1</v>
      </c>
      <c r="J142" s="53">
        <f t="shared" si="20"/>
        <v>46116611.833015963</v>
      </c>
      <c r="K142" s="5">
        <v>138.94365128295433</v>
      </c>
      <c r="L142" s="1">
        <f t="shared" si="17"/>
        <v>54862.251500000159</v>
      </c>
      <c r="M142" s="39">
        <v>336</v>
      </c>
      <c r="N142" s="1">
        <f t="shared" si="18"/>
        <v>-543011.24390711635</v>
      </c>
      <c r="O142" s="35">
        <f t="shared" si="19"/>
        <v>1.1637711753734225E-2</v>
      </c>
      <c r="Q142" s="28"/>
    </row>
    <row r="143" spans="1:17" x14ac:dyDescent="0.2">
      <c r="A143" s="52">
        <v>40422</v>
      </c>
      <c r="B143" s="53">
        <v>43088392.307692312</v>
      </c>
      <c r="C143" s="54">
        <v>177.3</v>
      </c>
      <c r="D143" s="54">
        <v>11.8</v>
      </c>
      <c r="E143" s="53">
        <v>30</v>
      </c>
      <c r="F143" s="53">
        <v>1</v>
      </c>
      <c r="G143" s="53">
        <v>0</v>
      </c>
      <c r="H143" s="53">
        <v>258.7</v>
      </c>
      <c r="I143" s="66">
        <v>9</v>
      </c>
      <c r="J143" s="53">
        <f t="shared" si="20"/>
        <v>42080872.396974757</v>
      </c>
      <c r="K143" s="5">
        <v>139.30884201680979</v>
      </c>
      <c r="L143" s="1">
        <f t="shared" si="17"/>
        <v>54872.209850000159</v>
      </c>
      <c r="M143" s="39">
        <v>336</v>
      </c>
      <c r="N143" s="1">
        <f t="shared" si="18"/>
        <v>-1007519.9107175544</v>
      </c>
      <c r="O143" s="35">
        <f t="shared" si="19"/>
        <v>2.3382629445139171E-2</v>
      </c>
      <c r="Q143" s="28"/>
    </row>
    <row r="144" spans="1:17" x14ac:dyDescent="0.2">
      <c r="A144" s="52">
        <v>40452</v>
      </c>
      <c r="B144" s="53">
        <v>45676969.230769232</v>
      </c>
      <c r="C144" s="54">
        <v>369.8</v>
      </c>
      <c r="D144" s="54">
        <v>0</v>
      </c>
      <c r="E144" s="53">
        <v>31</v>
      </c>
      <c r="F144" s="53">
        <v>1</v>
      </c>
      <c r="G144" s="53">
        <v>0</v>
      </c>
      <c r="H144" s="53">
        <v>257.8</v>
      </c>
      <c r="I144" s="66">
        <v>8.1</v>
      </c>
      <c r="J144" s="53">
        <f t="shared" si="20"/>
        <v>47056606.785690092</v>
      </c>
      <c r="K144" s="5">
        <v>139.67499259496805</v>
      </c>
      <c r="L144" s="1">
        <f t="shared" si="17"/>
        <v>54882.16820000016</v>
      </c>
      <c r="M144" s="39">
        <v>320</v>
      </c>
      <c r="N144" s="1">
        <f t="shared" si="18"/>
        <v>1379637.5549208596</v>
      </c>
      <c r="O144" s="35">
        <f t="shared" si="19"/>
        <v>3.0204227166444719E-2</v>
      </c>
      <c r="Q144" s="28"/>
    </row>
    <row r="145" spans="1:17" x14ac:dyDescent="0.2">
      <c r="A145" s="52">
        <v>40483</v>
      </c>
      <c r="B145" s="53">
        <v>50732084.615384623</v>
      </c>
      <c r="C145" s="54">
        <v>526.1</v>
      </c>
      <c r="D145" s="54">
        <v>0</v>
      </c>
      <c r="E145" s="53">
        <v>30</v>
      </c>
      <c r="F145" s="53">
        <v>1</v>
      </c>
      <c r="G145" s="53">
        <v>0</v>
      </c>
      <c r="H145" s="53">
        <v>258.7</v>
      </c>
      <c r="I145" s="66">
        <v>6.7</v>
      </c>
      <c r="J145" s="53">
        <f t="shared" si="20"/>
        <v>49863965.575153232</v>
      </c>
      <c r="K145" s="5">
        <v>140.04210554022336</v>
      </c>
      <c r="L145" s="1">
        <f t="shared" si="17"/>
        <v>54892.126550000161</v>
      </c>
      <c r="M145" s="39">
        <v>336</v>
      </c>
      <c r="N145" s="1">
        <f t="shared" si="18"/>
        <v>-868119.04023139179</v>
      </c>
      <c r="O145" s="35">
        <f t="shared" si="19"/>
        <v>1.7111834587773527E-2</v>
      </c>
      <c r="Q145" s="28"/>
    </row>
    <row r="146" spans="1:17" x14ac:dyDescent="0.2">
      <c r="A146" s="52">
        <v>40513</v>
      </c>
      <c r="B146" s="53">
        <v>59729500.000000007</v>
      </c>
      <c r="C146" s="54">
        <v>812.9</v>
      </c>
      <c r="D146" s="54">
        <v>0</v>
      </c>
      <c r="E146" s="53">
        <v>31</v>
      </c>
      <c r="F146" s="53">
        <v>0</v>
      </c>
      <c r="G146" s="53">
        <v>0</v>
      </c>
      <c r="H146" s="53">
        <v>256.39999999999998</v>
      </c>
      <c r="I146" s="66">
        <v>6.4</v>
      </c>
      <c r="J146" s="53">
        <f t="shared" si="20"/>
        <v>59906439.912404507</v>
      </c>
      <c r="K146" s="5">
        <v>140.4101833820007</v>
      </c>
      <c r="L146" s="1">
        <f t="shared" si="17"/>
        <v>54902.084900000162</v>
      </c>
      <c r="M146" s="39">
        <v>368</v>
      </c>
      <c r="N146" s="1">
        <f t="shared" si="18"/>
        <v>176939.91240449995</v>
      </c>
      <c r="O146" s="35">
        <f t="shared" si="19"/>
        <v>2.9623538185402512E-3</v>
      </c>
      <c r="Q146" s="28"/>
    </row>
    <row r="147" spans="1:17" x14ac:dyDescent="0.2">
      <c r="A147" s="52">
        <v>40544</v>
      </c>
      <c r="B147" s="53">
        <v>64609346.153846152</v>
      </c>
      <c r="C147" s="54">
        <v>984.2</v>
      </c>
      <c r="D147" s="54">
        <v>0</v>
      </c>
      <c r="E147" s="53">
        <v>31</v>
      </c>
      <c r="F147" s="53">
        <v>0</v>
      </c>
      <c r="G147" s="53">
        <v>0</v>
      </c>
      <c r="H147" s="53">
        <v>257.5</v>
      </c>
      <c r="I147" s="66">
        <v>6.5</v>
      </c>
      <c r="J147" s="53">
        <f t="shared" si="20"/>
        <v>64242959.62056005</v>
      </c>
      <c r="K147" s="5">
        <v>140.66504232107786</v>
      </c>
      <c r="L147" s="1">
        <f t="shared" si="17"/>
        <v>54912.043250000163</v>
      </c>
      <c r="M147" s="39">
        <f t="shared" ref="M147:M153" si="21">+M135</f>
        <v>320</v>
      </c>
      <c r="N147" s="1">
        <f t="shared" si="18"/>
        <v>-366386.53328610212</v>
      </c>
      <c r="O147" s="35">
        <f t="shared" si="19"/>
        <v>5.6707977265962684E-3</v>
      </c>
      <c r="Q147" s="28"/>
    </row>
    <row r="148" spans="1:17" x14ac:dyDescent="0.2">
      <c r="A148" s="52">
        <v>40575</v>
      </c>
      <c r="B148" s="53">
        <v>56418838.461538471</v>
      </c>
      <c r="C148" s="54">
        <v>798.2</v>
      </c>
      <c r="D148" s="54">
        <v>0</v>
      </c>
      <c r="E148" s="53">
        <v>28</v>
      </c>
      <c r="F148" s="53">
        <v>0</v>
      </c>
      <c r="G148" s="53">
        <v>0</v>
      </c>
      <c r="H148" s="53">
        <v>256.2</v>
      </c>
      <c r="I148" s="66">
        <v>7.3</v>
      </c>
      <c r="J148" s="53">
        <f t="shared" si="20"/>
        <v>56094417.569311678</v>
      </c>
      <c r="K148" s="5">
        <v>140.920363855369</v>
      </c>
      <c r="L148" s="1">
        <f t="shared" si="17"/>
        <v>54922.001600000163</v>
      </c>
      <c r="M148" s="39">
        <f t="shared" si="21"/>
        <v>304</v>
      </c>
      <c r="N148" s="1">
        <f t="shared" si="18"/>
        <v>-324420.89222679287</v>
      </c>
      <c r="O148" s="35">
        <f t="shared" si="19"/>
        <v>5.7502228169400409E-3</v>
      </c>
      <c r="Q148" s="28"/>
    </row>
    <row r="149" spans="1:17" x14ac:dyDescent="0.2">
      <c r="A149" s="52">
        <v>40603</v>
      </c>
      <c r="B149" s="53">
        <v>57187261.538461544</v>
      </c>
      <c r="C149" s="54">
        <v>742.1</v>
      </c>
      <c r="D149" s="54">
        <v>0</v>
      </c>
      <c r="E149" s="53">
        <v>31</v>
      </c>
      <c r="F149" s="53">
        <v>1</v>
      </c>
      <c r="G149" s="53">
        <v>0</v>
      </c>
      <c r="H149" s="53">
        <v>255.4</v>
      </c>
      <c r="I149" s="66">
        <v>8.5</v>
      </c>
      <c r="J149" s="53">
        <f t="shared" si="20"/>
        <v>56285496.816948526</v>
      </c>
      <c r="K149" s="5">
        <v>141.17614882453208</v>
      </c>
      <c r="L149" s="1">
        <f t="shared" si="17"/>
        <v>54931.959950000164</v>
      </c>
      <c r="M149" s="39">
        <f t="shared" si="21"/>
        <v>368</v>
      </c>
      <c r="N149" s="1">
        <f t="shared" si="18"/>
        <v>-901764.72151301801</v>
      </c>
      <c r="O149" s="35">
        <f t="shared" si="19"/>
        <v>1.5768629188626773E-2</v>
      </c>
      <c r="Q149" s="28"/>
    </row>
    <row r="150" spans="1:17" x14ac:dyDescent="0.2">
      <c r="A150" s="52">
        <v>40634</v>
      </c>
      <c r="B150" s="53">
        <v>47356076.923076928</v>
      </c>
      <c r="C150" s="54">
        <v>443.5</v>
      </c>
      <c r="D150" s="54">
        <v>0</v>
      </c>
      <c r="E150" s="53">
        <v>30</v>
      </c>
      <c r="F150" s="53">
        <v>1</v>
      </c>
      <c r="G150" s="53">
        <v>0</v>
      </c>
      <c r="H150" s="53">
        <v>255.2</v>
      </c>
      <c r="I150" s="66">
        <v>8.9</v>
      </c>
      <c r="J150" s="53">
        <f t="shared" si="20"/>
        <v>47651415.03271006</v>
      </c>
      <c r="K150" s="5">
        <v>141.4323980697491</v>
      </c>
      <c r="L150" s="1">
        <f t="shared" si="17"/>
        <v>54941.918300000165</v>
      </c>
      <c r="M150" s="39">
        <f t="shared" si="21"/>
        <v>320</v>
      </c>
      <c r="N150" s="1">
        <f t="shared" si="18"/>
        <v>295338.10963313282</v>
      </c>
      <c r="O150" s="35">
        <f t="shared" si="19"/>
        <v>6.2365408797030782E-3</v>
      </c>
      <c r="Q150" s="28"/>
    </row>
    <row r="151" spans="1:17" x14ac:dyDescent="0.2">
      <c r="A151" s="52">
        <v>40664</v>
      </c>
      <c r="B151" s="53">
        <v>43036769.230769232</v>
      </c>
      <c r="C151" s="54">
        <v>175.1</v>
      </c>
      <c r="D151" s="54">
        <v>6.9</v>
      </c>
      <c r="E151" s="53">
        <v>31</v>
      </c>
      <c r="F151" s="53">
        <v>1</v>
      </c>
      <c r="G151" s="53">
        <v>0</v>
      </c>
      <c r="H151" s="53">
        <v>257.8</v>
      </c>
      <c r="I151" s="66">
        <v>9.4</v>
      </c>
      <c r="J151" s="53">
        <f t="shared" si="20"/>
        <v>42737446.234598428</v>
      </c>
      <c r="K151" s="5">
        <v>141.68911243372889</v>
      </c>
      <c r="L151" s="1">
        <f t="shared" si="17"/>
        <v>54951.876650000166</v>
      </c>
      <c r="M151" s="39">
        <f t="shared" si="21"/>
        <v>320</v>
      </c>
      <c r="N151" s="1">
        <f t="shared" si="18"/>
        <v>-299322.9961708039</v>
      </c>
      <c r="O151" s="35">
        <f t="shared" si="19"/>
        <v>6.9550526566200116E-3</v>
      </c>
      <c r="Q151" s="28"/>
    </row>
    <row r="152" spans="1:17" x14ac:dyDescent="0.2">
      <c r="A152" s="52">
        <v>40695</v>
      </c>
      <c r="B152" s="53">
        <v>42724253.846153848</v>
      </c>
      <c r="C152" s="54">
        <v>65.7</v>
      </c>
      <c r="D152" s="54">
        <v>22.2</v>
      </c>
      <c r="E152" s="53">
        <v>30</v>
      </c>
      <c r="F152" s="53">
        <v>0</v>
      </c>
      <c r="G152" s="53">
        <v>0</v>
      </c>
      <c r="H152" s="53">
        <v>261.8</v>
      </c>
      <c r="I152" s="66">
        <v>9.1</v>
      </c>
      <c r="J152" s="53">
        <f t="shared" si="20"/>
        <v>42060064.171470731</v>
      </c>
      <c r="K152" s="5">
        <v>141.94629276070989</v>
      </c>
      <c r="L152" s="1">
        <f t="shared" si="17"/>
        <v>54961.835000000166</v>
      </c>
      <c r="M152" s="39">
        <f t="shared" si="21"/>
        <v>352</v>
      </c>
      <c r="N152" s="1">
        <f t="shared" si="18"/>
        <v>-664189.67468311638</v>
      </c>
      <c r="O152" s="35">
        <f t="shared" si="19"/>
        <v>1.554596312143456E-2</v>
      </c>
      <c r="Q152" s="28"/>
    </row>
    <row r="153" spans="1:17" x14ac:dyDescent="0.2">
      <c r="A153" s="52">
        <v>40725</v>
      </c>
      <c r="B153" s="53">
        <v>47506515.384615384</v>
      </c>
      <c r="C153" s="54">
        <v>2.9</v>
      </c>
      <c r="D153" s="54">
        <v>85.4</v>
      </c>
      <c r="E153" s="54">
        <v>31</v>
      </c>
      <c r="F153" s="53">
        <v>0</v>
      </c>
      <c r="G153" s="53">
        <v>0</v>
      </c>
      <c r="H153" s="53">
        <v>264.60000000000002</v>
      </c>
      <c r="I153" s="66">
        <v>9</v>
      </c>
      <c r="J153" s="53">
        <f t="shared" si="20"/>
        <v>46862809.684373185</v>
      </c>
      <c r="K153" s="5">
        <v>142.20393989646294</v>
      </c>
      <c r="L153" s="1">
        <f t="shared" si="17"/>
        <v>54971.793350000167</v>
      </c>
      <c r="M153" s="12">
        <f t="shared" si="21"/>
        <v>336</v>
      </c>
      <c r="N153" s="1">
        <f t="shared" si="18"/>
        <v>-643705.700242199</v>
      </c>
      <c r="O153" s="35">
        <f t="shared" si="19"/>
        <v>1.3549840375172161E-2</v>
      </c>
      <c r="Q153" s="28"/>
    </row>
    <row r="154" spans="1:17" x14ac:dyDescent="0.2">
      <c r="A154" s="52">
        <v>40756</v>
      </c>
      <c r="B154" s="53">
        <v>45624407.692307696</v>
      </c>
      <c r="C154" s="54">
        <v>16.7</v>
      </c>
      <c r="D154" s="54">
        <v>45.9</v>
      </c>
      <c r="E154" s="53">
        <v>31</v>
      </c>
      <c r="F154" s="53">
        <v>0</v>
      </c>
      <c r="G154" s="53">
        <v>0</v>
      </c>
      <c r="H154" s="53">
        <v>266.60000000000002</v>
      </c>
      <c r="I154" s="66">
        <v>8.6</v>
      </c>
      <c r="J154" s="53">
        <f t="shared" si="20"/>
        <v>44092681.304724045</v>
      </c>
      <c r="K154" s="5">
        <v>142.46205468829399</v>
      </c>
      <c r="L154" s="1">
        <f t="shared" si="17"/>
        <v>54981.751700000168</v>
      </c>
      <c r="M154" s="39">
        <f>(31-8-1)*16</f>
        <v>352</v>
      </c>
      <c r="N154" s="1">
        <f t="shared" si="18"/>
        <v>-1531726.3875836506</v>
      </c>
      <c r="O154" s="35">
        <f t="shared" si="19"/>
        <v>3.3572521048682032E-2</v>
      </c>
      <c r="Q154" s="28"/>
    </row>
    <row r="155" spans="1:17" x14ac:dyDescent="0.2">
      <c r="A155" s="52">
        <v>40787</v>
      </c>
      <c r="B155" s="53">
        <v>42233746.15384616</v>
      </c>
      <c r="C155" s="54">
        <v>116.4</v>
      </c>
      <c r="D155" s="54">
        <v>17.899999999999999</v>
      </c>
      <c r="E155" s="53">
        <v>30</v>
      </c>
      <c r="F155" s="53">
        <v>1</v>
      </c>
      <c r="G155" s="53">
        <v>0</v>
      </c>
      <c r="H155" s="53">
        <v>266.39999999999998</v>
      </c>
      <c r="I155" s="66">
        <v>8.4</v>
      </c>
      <c r="J155" s="53">
        <f t="shared" si="20"/>
        <v>41364038.599785849</v>
      </c>
      <c r="K155" s="5">
        <v>142.72063798504701</v>
      </c>
      <c r="L155" s="1">
        <f t="shared" si="17"/>
        <v>54991.710050000169</v>
      </c>
      <c r="M155" s="39">
        <f>(30-8)*16</f>
        <v>352</v>
      </c>
      <c r="N155" s="1">
        <f t="shared" si="18"/>
        <v>-869707.55406031013</v>
      </c>
      <c r="O155" s="35">
        <f t="shared" si="19"/>
        <v>2.0592716329074855E-2</v>
      </c>
      <c r="Q155" s="28"/>
    </row>
    <row r="156" spans="1:17" x14ac:dyDescent="0.2">
      <c r="A156" s="52">
        <v>40817</v>
      </c>
      <c r="B156" s="53">
        <v>43980523.07692308</v>
      </c>
      <c r="C156" s="54">
        <v>295.3</v>
      </c>
      <c r="D156" s="54">
        <v>1.5</v>
      </c>
      <c r="E156" s="53">
        <v>31</v>
      </c>
      <c r="F156" s="53">
        <v>1</v>
      </c>
      <c r="G156" s="53">
        <v>0</v>
      </c>
      <c r="H156" s="53">
        <v>264.60000000000002</v>
      </c>
      <c r="I156" s="66">
        <v>7.6</v>
      </c>
      <c r="J156" s="53">
        <f t="shared" si="20"/>
        <v>45589844.661833495</v>
      </c>
      <c r="K156" s="5">
        <v>142.97969063710661</v>
      </c>
      <c r="L156" s="1">
        <f t="shared" si="17"/>
        <v>55001.66840000017</v>
      </c>
      <c r="M156" s="39">
        <f>(31-10-1)*16</f>
        <v>320</v>
      </c>
      <c r="N156" s="1">
        <f t="shared" si="18"/>
        <v>1609321.5849104151</v>
      </c>
      <c r="O156" s="35">
        <f t="shared" si="19"/>
        <v>3.6591688145583667E-2</v>
      </c>
      <c r="Q156" s="28"/>
    </row>
    <row r="157" spans="1:17" x14ac:dyDescent="0.2">
      <c r="A157" s="52">
        <v>40848</v>
      </c>
      <c r="B157" s="53">
        <v>47499561.538461544</v>
      </c>
      <c r="C157" s="54">
        <v>464.8</v>
      </c>
      <c r="D157" s="54">
        <v>0</v>
      </c>
      <c r="E157" s="53">
        <v>30</v>
      </c>
      <c r="F157" s="53">
        <v>1</v>
      </c>
      <c r="G157" s="53">
        <v>0</v>
      </c>
      <c r="H157" s="53">
        <v>261.10000000000002</v>
      </c>
      <c r="I157" s="66">
        <v>6.6</v>
      </c>
      <c r="J157" s="53">
        <f t="shared" si="20"/>
        <v>48426437.988129027</v>
      </c>
      <c r="K157" s="5">
        <v>143.23921349640105</v>
      </c>
      <c r="L157" s="1">
        <f t="shared" si="17"/>
        <v>55011.62675000017</v>
      </c>
      <c r="M157" s="39">
        <f>(30-8)*16</f>
        <v>352</v>
      </c>
      <c r="N157" s="1">
        <f t="shared" si="18"/>
        <v>926876.44966748357</v>
      </c>
      <c r="O157" s="35">
        <f t="shared" si="19"/>
        <v>1.9513368537454168E-2</v>
      </c>
      <c r="Q157" s="28"/>
    </row>
    <row r="158" spans="1:17" x14ac:dyDescent="0.2">
      <c r="A158" s="52">
        <v>40878</v>
      </c>
      <c r="B158" s="53">
        <v>55561307.692307696</v>
      </c>
      <c r="C158" s="54">
        <v>751.1</v>
      </c>
      <c r="D158" s="54">
        <v>0</v>
      </c>
      <c r="E158" s="53">
        <v>31</v>
      </c>
      <c r="F158" s="53">
        <v>0</v>
      </c>
      <c r="G158" s="53">
        <v>0</v>
      </c>
      <c r="H158" s="53">
        <v>259.5</v>
      </c>
      <c r="I158" s="66">
        <v>6.1</v>
      </c>
      <c r="J158" s="53">
        <f t="shared" si="20"/>
        <v>58485026.971486725</v>
      </c>
      <c r="K158" s="5">
        <v>143.49920741640472</v>
      </c>
      <c r="L158" s="1">
        <f t="shared" si="17"/>
        <v>55021.585100000171</v>
      </c>
      <c r="M158" s="39">
        <f>(31-9-1)*16</f>
        <v>336</v>
      </c>
      <c r="N158" s="1">
        <f t="shared" si="18"/>
        <v>2923719.2791790292</v>
      </c>
      <c r="O158" s="35">
        <f t="shared" si="19"/>
        <v>5.262149867620574E-2</v>
      </c>
      <c r="Q158" s="28"/>
    </row>
    <row r="159" spans="1:17" x14ac:dyDescent="0.2">
      <c r="A159" s="52">
        <v>40909</v>
      </c>
      <c r="B159" s="53">
        <v>60440353.846153855</v>
      </c>
      <c r="C159" s="54">
        <v>855.4</v>
      </c>
      <c r="D159" s="54">
        <v>0</v>
      </c>
      <c r="E159" s="53">
        <v>31</v>
      </c>
      <c r="F159" s="53">
        <v>0</v>
      </c>
      <c r="G159" s="53">
        <v>1</v>
      </c>
      <c r="H159" s="53">
        <v>255.9</v>
      </c>
      <c r="I159" s="66">
        <v>6.4</v>
      </c>
      <c r="J159" s="53">
        <f t="shared" si="20"/>
        <v>58844840.418556124</v>
      </c>
      <c r="K159" s="5">
        <v>143.79479228853472</v>
      </c>
      <c r="L159" s="1">
        <f t="shared" si="17"/>
        <v>55031.543450000172</v>
      </c>
      <c r="M159" s="39">
        <f>(31-9-1)*16</f>
        <v>336</v>
      </c>
      <c r="N159" s="1">
        <f t="shared" si="18"/>
        <v>-1595513.4275977314</v>
      </c>
      <c r="O159" s="35">
        <f t="shared" si="19"/>
        <v>2.6398148357287661E-2</v>
      </c>
      <c r="Q159" s="28"/>
    </row>
    <row r="160" spans="1:17" x14ac:dyDescent="0.2">
      <c r="A160" s="52">
        <v>40940</v>
      </c>
      <c r="B160" s="53">
        <v>53240192.307692312</v>
      </c>
      <c r="C160" s="54">
        <v>717.6</v>
      </c>
      <c r="D160" s="54">
        <v>0</v>
      </c>
      <c r="E160" s="53">
        <v>29</v>
      </c>
      <c r="F160" s="53">
        <v>0</v>
      </c>
      <c r="G160" s="53">
        <v>1</v>
      </c>
      <c r="H160" s="53">
        <v>252.9</v>
      </c>
      <c r="I160" s="66">
        <v>7.1</v>
      </c>
      <c r="J160" s="53">
        <f t="shared" si="20"/>
        <v>52979466.288745627</v>
      </c>
      <c r="K160" s="5">
        <v>144.09098601710514</v>
      </c>
      <c r="L160" s="1">
        <f t="shared" si="17"/>
        <v>55041.501800000173</v>
      </c>
      <c r="M160" s="39">
        <f>(29-8)*16</f>
        <v>336</v>
      </c>
      <c r="N160" s="1">
        <f t="shared" si="18"/>
        <v>-260726.0189466849</v>
      </c>
      <c r="O160" s="35">
        <f t="shared" si="19"/>
        <v>4.8971652363662549E-3</v>
      </c>
      <c r="Q160" s="28"/>
    </row>
    <row r="161" spans="1:17" x14ac:dyDescent="0.2">
      <c r="A161" s="52">
        <v>40969</v>
      </c>
      <c r="B161" s="53">
        <v>51166853.846153848</v>
      </c>
      <c r="C161" s="54">
        <v>510.4</v>
      </c>
      <c r="D161" s="54">
        <v>0.7</v>
      </c>
      <c r="E161" s="53">
        <v>31</v>
      </c>
      <c r="F161" s="53">
        <v>1</v>
      </c>
      <c r="G161" s="53">
        <v>1</v>
      </c>
      <c r="H161" s="53">
        <v>250.6</v>
      </c>
      <c r="I161" s="66">
        <v>7.6</v>
      </c>
      <c r="J161" s="53">
        <f t="shared" si="20"/>
        <v>48235201.58365918</v>
      </c>
      <c r="K161" s="5">
        <v>144.38778985626058</v>
      </c>
      <c r="L161" s="1">
        <f t="shared" si="17"/>
        <v>55051.460150000174</v>
      </c>
      <c r="M161" s="39">
        <f>(31-9)*16</f>
        <v>352</v>
      </c>
      <c r="N161" s="1">
        <f t="shared" si="18"/>
        <v>-2931652.2624946684</v>
      </c>
      <c r="O161" s="35">
        <f t="shared" si="19"/>
        <v>5.7295925821615419E-2</v>
      </c>
      <c r="Q161" s="28"/>
    </row>
    <row r="162" spans="1:17" x14ac:dyDescent="0.2">
      <c r="A162" s="52">
        <v>41000</v>
      </c>
      <c r="B162" s="53">
        <v>44760523.07692308</v>
      </c>
      <c r="C162" s="54">
        <v>425.7</v>
      </c>
      <c r="D162" s="54">
        <v>0</v>
      </c>
      <c r="E162" s="53">
        <v>30</v>
      </c>
      <c r="F162" s="53">
        <v>1</v>
      </c>
      <c r="G162" s="53">
        <v>1</v>
      </c>
      <c r="H162" s="53">
        <v>254.8</v>
      </c>
      <c r="I162" s="66">
        <v>7.3</v>
      </c>
      <c r="J162" s="53">
        <f t="shared" si="20"/>
        <v>45083234.578112923</v>
      </c>
      <c r="K162" s="5">
        <v>144.68520506272893</v>
      </c>
      <c r="L162" s="1">
        <f t="shared" si="17"/>
        <v>55061.418500000174</v>
      </c>
      <c r="M162" s="39">
        <f>(30-9)*16</f>
        <v>336</v>
      </c>
      <c r="N162" s="1">
        <f t="shared" si="18"/>
        <v>322711.50118984282</v>
      </c>
      <c r="O162" s="35">
        <f t="shared" si="19"/>
        <v>7.2097348066117953E-3</v>
      </c>
      <c r="Q162" s="28"/>
    </row>
    <row r="163" spans="1:17" x14ac:dyDescent="0.2">
      <c r="A163" s="52">
        <v>41030</v>
      </c>
      <c r="B163" s="53">
        <v>41974454.545454547</v>
      </c>
      <c r="C163" s="54">
        <v>138.19999999999999</v>
      </c>
      <c r="D163" s="54">
        <v>13.8</v>
      </c>
      <c r="E163" s="53">
        <v>31</v>
      </c>
      <c r="F163" s="53">
        <v>1</v>
      </c>
      <c r="G163" s="53">
        <v>1</v>
      </c>
      <c r="H163" s="53">
        <v>260.8</v>
      </c>
      <c r="I163" s="66">
        <v>6.7</v>
      </c>
      <c r="J163" s="53">
        <f t="shared" si="20"/>
        <v>40388457.1563024</v>
      </c>
      <c r="K163" s="5">
        <v>144.98323289582677</v>
      </c>
      <c r="L163" s="1">
        <f t="shared" si="17"/>
        <v>55071.376850000175</v>
      </c>
      <c r="M163" s="39">
        <f>(31-8-1)*16</f>
        <v>352</v>
      </c>
      <c r="N163" s="1">
        <f t="shared" ref="N163:N194" si="22">J163-B163</f>
        <v>-1585997.3891521469</v>
      </c>
      <c r="O163" s="35">
        <f t="shared" ref="O163:O194" si="23">ABS(N163/B163)</f>
        <v>3.7784824277696208E-2</v>
      </c>
      <c r="Q163" s="28"/>
    </row>
    <row r="164" spans="1:17" x14ac:dyDescent="0.2">
      <c r="A164" s="52">
        <v>41061</v>
      </c>
      <c r="B164" s="53">
        <v>43023081.909090899</v>
      </c>
      <c r="C164" s="54">
        <v>50.5</v>
      </c>
      <c r="D164" s="54">
        <v>49.1</v>
      </c>
      <c r="E164" s="53">
        <v>30</v>
      </c>
      <c r="F164" s="53">
        <v>0</v>
      </c>
      <c r="G164" s="53">
        <v>1</v>
      </c>
      <c r="H164" s="53">
        <v>267.7</v>
      </c>
      <c r="I164" s="66">
        <v>6.1</v>
      </c>
      <c r="J164" s="53">
        <f t="shared" si="20"/>
        <v>41992453.533635333</v>
      </c>
      <c r="K164" s="5">
        <v>145.28187461746467</v>
      </c>
      <c r="L164" s="1">
        <f t="shared" si="17"/>
        <v>55081.335200000176</v>
      </c>
      <c r="M164" s="39">
        <f>(30-9)*16</f>
        <v>336</v>
      </c>
      <c r="N164" s="1">
        <f t="shared" si="22"/>
        <v>-1030628.3754555658</v>
      </c>
      <c r="O164" s="35">
        <f t="shared" si="23"/>
        <v>2.3955242853901434E-2</v>
      </c>
      <c r="Q164" s="28"/>
    </row>
    <row r="165" spans="1:17" x14ac:dyDescent="0.2">
      <c r="A165" s="52">
        <v>41091</v>
      </c>
      <c r="B165" s="53">
        <v>46297145.545454502</v>
      </c>
      <c r="C165" s="54">
        <v>2.2000000000000002</v>
      </c>
      <c r="D165" s="54">
        <v>78.3</v>
      </c>
      <c r="E165" s="53">
        <v>31</v>
      </c>
      <c r="F165" s="53">
        <v>0</v>
      </c>
      <c r="G165" s="53">
        <v>1</v>
      </c>
      <c r="H165" s="53">
        <v>268.89999999999998</v>
      </c>
      <c r="I165" s="66">
        <v>5.9</v>
      </c>
      <c r="J165" s="53">
        <f t="shared" si="20"/>
        <v>44340558.548573658</v>
      </c>
      <c r="K165" s="5">
        <v>145.58113149215245</v>
      </c>
      <c r="L165" s="1">
        <f t="shared" si="17"/>
        <v>55091.293550000177</v>
      </c>
      <c r="M165" s="39">
        <f>(31-9-1)*16</f>
        <v>336</v>
      </c>
      <c r="N165" s="1">
        <f t="shared" si="22"/>
        <v>-1956586.9968808442</v>
      </c>
      <c r="O165" s="35">
        <f t="shared" si="23"/>
        <v>4.2261503896819486E-2</v>
      </c>
      <c r="Q165" s="28"/>
    </row>
    <row r="166" spans="1:17" x14ac:dyDescent="0.2">
      <c r="A166" s="52">
        <v>41122</v>
      </c>
      <c r="B166" s="53">
        <v>43563745.190909103</v>
      </c>
      <c r="C166" s="54">
        <v>27</v>
      </c>
      <c r="D166" s="54">
        <v>44.9</v>
      </c>
      <c r="E166" s="53">
        <v>31</v>
      </c>
      <c r="F166" s="53">
        <v>0</v>
      </c>
      <c r="G166" s="53">
        <v>1</v>
      </c>
      <c r="H166" s="53">
        <v>265.5</v>
      </c>
      <c r="I166" s="66">
        <v>6.9</v>
      </c>
      <c r="J166" s="53">
        <f t="shared" si="20"/>
        <v>42118884.236257337</v>
      </c>
      <c r="K166" s="5">
        <v>145.88100478700474</v>
      </c>
      <c r="L166" s="1">
        <f t="shared" si="17"/>
        <v>55101.251900000178</v>
      </c>
      <c r="M166" s="39">
        <f>(31-8-1)*16</f>
        <v>352</v>
      </c>
      <c r="N166" s="1">
        <f t="shared" si="22"/>
        <v>-1444860.9546517655</v>
      </c>
      <c r="O166" s="35">
        <f t="shared" si="23"/>
        <v>3.3166591814362177E-2</v>
      </c>
      <c r="Q166" s="28"/>
    </row>
    <row r="167" spans="1:17" x14ac:dyDescent="0.2">
      <c r="A167" s="52">
        <v>41153</v>
      </c>
      <c r="B167" s="53">
        <v>40969381.861818202</v>
      </c>
      <c r="C167" s="54">
        <v>163</v>
      </c>
      <c r="D167" s="54">
        <v>12.4</v>
      </c>
      <c r="E167" s="53">
        <v>30</v>
      </c>
      <c r="F167" s="53">
        <v>1</v>
      </c>
      <c r="G167" s="53">
        <v>1</v>
      </c>
      <c r="H167" s="53">
        <v>255.6</v>
      </c>
      <c r="I167" s="66">
        <v>7.7</v>
      </c>
      <c r="J167" s="53">
        <f t="shared" si="20"/>
        <v>39538476.282459728</v>
      </c>
      <c r="K167" s="5">
        <v>146.18149577174611</v>
      </c>
      <c r="L167" s="1">
        <f t="shared" si="17"/>
        <v>55111.210250000178</v>
      </c>
      <c r="M167" s="39">
        <f>(30-10-1)*16</f>
        <v>304</v>
      </c>
      <c r="N167" s="1">
        <f t="shared" si="22"/>
        <v>-1430905.5793584734</v>
      </c>
      <c r="O167" s="35">
        <f t="shared" si="23"/>
        <v>3.4926218418052803E-2</v>
      </c>
      <c r="Q167" s="28"/>
    </row>
    <row r="168" spans="1:17" x14ac:dyDescent="0.2">
      <c r="A168" s="52">
        <v>41183</v>
      </c>
      <c r="B168" s="53">
        <v>43802874.826363601</v>
      </c>
      <c r="C168" s="54">
        <v>331</v>
      </c>
      <c r="D168" s="54">
        <v>0</v>
      </c>
      <c r="E168" s="53">
        <v>31</v>
      </c>
      <c r="F168" s="53">
        <v>1</v>
      </c>
      <c r="G168" s="53">
        <v>1</v>
      </c>
      <c r="H168" s="53">
        <v>248.4</v>
      </c>
      <c r="I168" s="66">
        <v>8.3000000000000007</v>
      </c>
      <c r="J168" s="53">
        <f t="shared" si="20"/>
        <v>43594080.656397551</v>
      </c>
      <c r="K168" s="5">
        <v>146.48260571871663</v>
      </c>
      <c r="L168" s="1">
        <f t="shared" si="17"/>
        <v>55121.168600000179</v>
      </c>
      <c r="M168" s="39">
        <f>(31-8-1)*16</f>
        <v>352</v>
      </c>
      <c r="N168" s="1">
        <f t="shared" si="22"/>
        <v>-208794.16996604949</v>
      </c>
      <c r="O168" s="35">
        <f t="shared" si="23"/>
        <v>4.7666773195530702E-3</v>
      </c>
      <c r="Q168" s="28"/>
    </row>
    <row r="169" spans="1:17" x14ac:dyDescent="0.2">
      <c r="A169" s="52">
        <v>41214</v>
      </c>
      <c r="B169" s="53">
        <v>48147860.479999997</v>
      </c>
      <c r="C169" s="54">
        <v>549.70000000000005</v>
      </c>
      <c r="D169" s="54">
        <v>0</v>
      </c>
      <c r="E169" s="53">
        <v>30</v>
      </c>
      <c r="F169" s="53">
        <v>1</v>
      </c>
      <c r="G169" s="53">
        <v>1</v>
      </c>
      <c r="H169" s="53">
        <v>245.6</v>
      </c>
      <c r="I169" s="66">
        <v>7.7</v>
      </c>
      <c r="J169" s="53">
        <f t="shared" si="20"/>
        <v>47813334.566520557</v>
      </c>
      <c r="K169" s="5">
        <v>146.7843359028771</v>
      </c>
      <c r="L169" s="1">
        <f t="shared" si="17"/>
        <v>55131.12695000018</v>
      </c>
      <c r="M169" s="39">
        <f>(30-8)*16</f>
        <v>352</v>
      </c>
      <c r="N169" s="1">
        <f t="shared" si="22"/>
        <v>-334525.91347943991</v>
      </c>
      <c r="O169" s="35">
        <f t="shared" si="23"/>
        <v>6.9478874065109844E-3</v>
      </c>
      <c r="Q169" s="28"/>
    </row>
    <row r="170" spans="1:17" x14ac:dyDescent="0.2">
      <c r="A170" s="52">
        <v>41244</v>
      </c>
      <c r="B170" s="53">
        <v>55226225.239999995</v>
      </c>
      <c r="C170" s="54">
        <v>770.6</v>
      </c>
      <c r="D170" s="54">
        <v>0</v>
      </c>
      <c r="E170" s="53">
        <v>31</v>
      </c>
      <c r="F170" s="53">
        <v>0</v>
      </c>
      <c r="G170" s="53">
        <v>1</v>
      </c>
      <c r="H170" s="53">
        <v>247.4</v>
      </c>
      <c r="I170" s="66">
        <v>8</v>
      </c>
      <c r="J170" s="53">
        <f t="shared" si="20"/>
        <v>56372595.898298524</v>
      </c>
      <c r="K170" s="5">
        <v>147.08668760181482</v>
      </c>
      <c r="L170" s="1">
        <f t="shared" si="17"/>
        <v>55141.085300000181</v>
      </c>
      <c r="M170" s="39">
        <f>(31-10-1)*16</f>
        <v>320</v>
      </c>
      <c r="N170" s="1">
        <f t="shared" si="22"/>
        <v>1146370.6582985297</v>
      </c>
      <c r="O170" s="35">
        <f t="shared" si="23"/>
        <v>2.0757722500798784E-2</v>
      </c>
      <c r="Q170" s="28"/>
    </row>
    <row r="171" spans="1:17" x14ac:dyDescent="0.2">
      <c r="A171" s="52">
        <v>41275</v>
      </c>
      <c r="B171" s="53">
        <v>60327761.510000005</v>
      </c>
      <c r="C171" s="54">
        <v>892.80000000000007</v>
      </c>
      <c r="D171" s="54">
        <v>0</v>
      </c>
      <c r="E171" s="53">
        <v>31</v>
      </c>
      <c r="F171" s="53">
        <v>0</v>
      </c>
      <c r="G171" s="53">
        <v>1</v>
      </c>
      <c r="H171" s="53">
        <v>247</v>
      </c>
      <c r="I171" s="66">
        <v>8.3000000000000007</v>
      </c>
      <c r="J171" s="53">
        <f t="shared" si="20"/>
        <v>59417658.870348632</v>
      </c>
      <c r="K171" s="5"/>
      <c r="L171" s="1"/>
      <c r="N171" s="1">
        <f t="shared" si="22"/>
        <v>-910102.63965137303</v>
      </c>
      <c r="O171" s="35">
        <f t="shared" si="23"/>
        <v>1.5085967336953374E-2</v>
      </c>
      <c r="Q171" s="28"/>
    </row>
    <row r="172" spans="1:17" x14ac:dyDescent="0.2">
      <c r="A172" s="52">
        <v>41306</v>
      </c>
      <c r="B172" s="53">
        <v>53600343.009999998</v>
      </c>
      <c r="C172" s="54">
        <v>801.40000000000009</v>
      </c>
      <c r="D172" s="54">
        <v>0</v>
      </c>
      <c r="E172" s="53">
        <v>28</v>
      </c>
      <c r="F172" s="53">
        <v>0</v>
      </c>
      <c r="G172" s="53">
        <v>1</v>
      </c>
      <c r="H172" s="53">
        <v>247.3</v>
      </c>
      <c r="I172" s="66">
        <v>8.6</v>
      </c>
      <c r="J172" s="53">
        <f t="shared" si="20"/>
        <v>53704558.982238218</v>
      </c>
      <c r="K172" s="5"/>
      <c r="L172" s="1"/>
      <c r="N172" s="1">
        <f t="shared" si="22"/>
        <v>104215.97223822027</v>
      </c>
      <c r="O172" s="35">
        <f t="shared" si="23"/>
        <v>1.9443153977349945E-3</v>
      </c>
      <c r="Q172" s="28"/>
    </row>
    <row r="173" spans="1:17" x14ac:dyDescent="0.2">
      <c r="A173" s="52">
        <v>41334</v>
      </c>
      <c r="B173" s="53">
        <v>52121235.689999998</v>
      </c>
      <c r="C173" s="54">
        <v>685.19999999999982</v>
      </c>
      <c r="D173" s="54">
        <v>0</v>
      </c>
      <c r="E173" s="53">
        <v>31</v>
      </c>
      <c r="F173" s="53">
        <v>1</v>
      </c>
      <c r="G173" s="53">
        <v>1</v>
      </c>
      <c r="H173" s="53">
        <v>248.7</v>
      </c>
      <c r="I173" s="66">
        <v>8.8000000000000007</v>
      </c>
      <c r="J173" s="53">
        <f t="shared" si="20"/>
        <v>52479990.648459084</v>
      </c>
      <c r="K173" s="5"/>
      <c r="L173" s="1"/>
      <c r="N173" s="1">
        <f t="shared" si="22"/>
        <v>358754.95845908672</v>
      </c>
      <c r="O173" s="35">
        <f t="shared" si="23"/>
        <v>6.8830862067976182E-3</v>
      </c>
      <c r="Q173" s="28"/>
    </row>
    <row r="174" spans="1:17" x14ac:dyDescent="0.2">
      <c r="A174" s="52">
        <v>41365</v>
      </c>
      <c r="B174" s="53">
        <v>46644026.119999997</v>
      </c>
      <c r="C174" s="54">
        <v>496.25000000000011</v>
      </c>
      <c r="D174" s="54">
        <v>0</v>
      </c>
      <c r="E174" s="53">
        <v>30</v>
      </c>
      <c r="F174" s="53">
        <v>1</v>
      </c>
      <c r="G174" s="53">
        <v>1</v>
      </c>
      <c r="H174" s="53">
        <v>250.9</v>
      </c>
      <c r="I174" s="66">
        <v>8.8000000000000007</v>
      </c>
      <c r="J174" s="53">
        <f t="shared" si="20"/>
        <v>46691125.360289149</v>
      </c>
      <c r="K174" s="5"/>
      <c r="L174" s="1"/>
      <c r="N174" s="1">
        <f t="shared" si="22"/>
        <v>47099.240289151669</v>
      </c>
      <c r="O174" s="35">
        <f t="shared" si="23"/>
        <v>1.0097593241196752E-3</v>
      </c>
      <c r="Q174" s="28"/>
    </row>
    <row r="175" spans="1:17" x14ac:dyDescent="0.2">
      <c r="A175" s="52">
        <v>41395</v>
      </c>
      <c r="B175" s="53">
        <v>41426399.170000002</v>
      </c>
      <c r="C175" s="54">
        <v>198.95</v>
      </c>
      <c r="D175" s="54">
        <v>9.6999999999999993</v>
      </c>
      <c r="E175" s="53">
        <v>31</v>
      </c>
      <c r="F175" s="53">
        <v>1</v>
      </c>
      <c r="G175" s="53">
        <v>1</v>
      </c>
      <c r="H175" s="53">
        <v>254.9</v>
      </c>
      <c r="I175" s="66">
        <v>8.6999999999999993</v>
      </c>
      <c r="J175" s="53">
        <f t="shared" si="20"/>
        <v>41337089.362507522</v>
      </c>
      <c r="K175" s="5"/>
      <c r="L175" s="1"/>
      <c r="N175" s="1">
        <f t="shared" si="22"/>
        <v>-89309.807492479682</v>
      </c>
      <c r="O175" s="35">
        <f t="shared" si="23"/>
        <v>2.1558670143157336E-3</v>
      </c>
      <c r="Q175" s="28"/>
    </row>
    <row r="176" spans="1:17" x14ac:dyDescent="0.2">
      <c r="A176" s="52">
        <v>41426</v>
      </c>
      <c r="B176" s="53">
        <v>39734886.469999999</v>
      </c>
      <c r="C176" s="54">
        <v>102.54999999999998</v>
      </c>
      <c r="D176" s="54">
        <v>15.000000000000004</v>
      </c>
      <c r="E176" s="53">
        <v>30</v>
      </c>
      <c r="F176" s="53">
        <v>0</v>
      </c>
      <c r="G176" s="53">
        <v>1</v>
      </c>
      <c r="H176" s="53">
        <v>257.3</v>
      </c>
      <c r="I176" s="66">
        <v>7.5</v>
      </c>
      <c r="J176" s="53">
        <f t="shared" si="20"/>
        <v>40110385.537037916</v>
      </c>
      <c r="K176" s="5"/>
      <c r="L176" s="1"/>
      <c r="N176" s="1">
        <f t="shared" si="22"/>
        <v>375499.06703791767</v>
      </c>
      <c r="O176" s="35">
        <f t="shared" si="23"/>
        <v>9.4501104796517032E-3</v>
      </c>
      <c r="Q176" s="28"/>
    </row>
    <row r="177" spans="1:17" x14ac:dyDescent="0.2">
      <c r="A177" s="52">
        <v>41456</v>
      </c>
      <c r="B177" s="53">
        <v>44872689.950000003</v>
      </c>
      <c r="C177" s="54">
        <v>39.149999999999984</v>
      </c>
      <c r="D177" s="54">
        <v>52.79999999999999</v>
      </c>
      <c r="E177" s="53">
        <v>31</v>
      </c>
      <c r="F177" s="53">
        <v>0</v>
      </c>
      <c r="G177" s="53">
        <v>1</v>
      </c>
      <c r="H177" s="53">
        <v>259.2</v>
      </c>
      <c r="I177" s="66">
        <v>7.1</v>
      </c>
      <c r="J177" s="53">
        <f t="shared" si="20"/>
        <v>42805042.050355725</v>
      </c>
      <c r="K177" s="5"/>
      <c r="L177" s="1"/>
      <c r="N177" s="1">
        <f t="shared" si="22"/>
        <v>-2067647.899644278</v>
      </c>
      <c r="O177" s="35">
        <f t="shared" si="23"/>
        <v>4.6078091194180298E-2</v>
      </c>
      <c r="Q177" s="28"/>
    </row>
    <row r="178" spans="1:17" x14ac:dyDescent="0.2">
      <c r="A178" s="52">
        <v>41487</v>
      </c>
      <c r="B178" s="53">
        <v>42128550.090000004</v>
      </c>
      <c r="C178" s="54">
        <v>49.000000000000014</v>
      </c>
      <c r="D178" s="54">
        <v>23.449999999999992</v>
      </c>
      <c r="E178" s="53">
        <v>31</v>
      </c>
      <c r="F178" s="53">
        <v>0</v>
      </c>
      <c r="G178" s="53">
        <v>1</v>
      </c>
      <c r="H178" s="53">
        <v>258.2</v>
      </c>
      <c r="I178" s="66">
        <v>7</v>
      </c>
      <c r="J178" s="53">
        <f t="shared" si="20"/>
        <v>40634892.71308215</v>
      </c>
      <c r="K178" s="5"/>
      <c r="L178" s="1"/>
      <c r="N178" s="1">
        <f t="shared" si="22"/>
        <v>-1493657.376917854</v>
      </c>
      <c r="O178" s="35">
        <f t="shared" si="23"/>
        <v>3.5454753931168433E-2</v>
      </c>
      <c r="Q178" s="28"/>
    </row>
    <row r="179" spans="1:17" x14ac:dyDescent="0.2">
      <c r="A179" s="52">
        <v>41518</v>
      </c>
      <c r="B179" s="53">
        <v>39409892.280000001</v>
      </c>
      <c r="C179" s="54">
        <v>181.75</v>
      </c>
      <c r="D179" s="54">
        <v>1.6499999999999986</v>
      </c>
      <c r="E179" s="53">
        <v>30</v>
      </c>
      <c r="F179" s="53">
        <v>1</v>
      </c>
      <c r="G179" s="53">
        <v>1</v>
      </c>
      <c r="H179" s="53">
        <v>253.8</v>
      </c>
      <c r="I179" s="66">
        <v>7.1</v>
      </c>
      <c r="J179" s="53">
        <f t="shared" si="20"/>
        <v>39064308.36027547</v>
      </c>
      <c r="K179" s="5"/>
      <c r="L179" s="1"/>
      <c r="N179" s="1">
        <f t="shared" si="22"/>
        <v>-345583.91972453147</v>
      </c>
      <c r="O179" s="35">
        <f t="shared" si="23"/>
        <v>8.7689638243419084E-3</v>
      </c>
      <c r="Q179" s="28"/>
    </row>
    <row r="180" spans="1:17" x14ac:dyDescent="0.2">
      <c r="A180" s="52">
        <v>41548</v>
      </c>
      <c r="B180" s="53">
        <v>43095283.710000001</v>
      </c>
      <c r="C180" s="54">
        <v>321.95</v>
      </c>
      <c r="D180" s="54">
        <v>0</v>
      </c>
      <c r="E180" s="53">
        <v>31</v>
      </c>
      <c r="F180" s="53">
        <v>1</v>
      </c>
      <c r="G180" s="53">
        <v>1</v>
      </c>
      <c r="H180" s="53">
        <v>253.6</v>
      </c>
      <c r="I180" s="66">
        <v>6.9</v>
      </c>
      <c r="J180" s="53">
        <f t="shared" si="20"/>
        <v>43580115.874376878</v>
      </c>
      <c r="K180" s="5"/>
      <c r="L180" s="1"/>
      <c r="N180" s="1">
        <f t="shared" si="22"/>
        <v>484832.16437687725</v>
      </c>
      <c r="O180" s="35">
        <f t="shared" si="23"/>
        <v>1.1250237210165409E-2</v>
      </c>
      <c r="Q180" s="28"/>
    </row>
    <row r="181" spans="1:17" x14ac:dyDescent="0.2">
      <c r="A181" s="52">
        <v>41579</v>
      </c>
      <c r="B181" s="53">
        <v>49774197.399999999</v>
      </c>
      <c r="C181" s="54">
        <v>625.75</v>
      </c>
      <c r="D181" s="54">
        <v>0</v>
      </c>
      <c r="E181" s="53">
        <v>30</v>
      </c>
      <c r="F181" s="53">
        <v>1</v>
      </c>
      <c r="G181" s="53">
        <v>1</v>
      </c>
      <c r="H181" s="53">
        <v>252.5</v>
      </c>
      <c r="I181" s="66">
        <v>6.5</v>
      </c>
      <c r="J181" s="53">
        <f t="shared" si="20"/>
        <v>50000903.694821887</v>
      </c>
      <c r="K181" s="5"/>
      <c r="L181" s="1"/>
      <c r="N181" s="1">
        <f t="shared" si="22"/>
        <v>226706.29482188821</v>
      </c>
      <c r="O181" s="35">
        <f t="shared" si="23"/>
        <v>4.5546951365184286E-3</v>
      </c>
      <c r="Q181" s="28"/>
    </row>
    <row r="182" spans="1:17" x14ac:dyDescent="0.2">
      <c r="A182" s="52">
        <v>41609</v>
      </c>
      <c r="B182" s="53">
        <v>60036819.376666702</v>
      </c>
      <c r="C182" s="54">
        <v>964.3</v>
      </c>
      <c r="D182" s="54">
        <v>0</v>
      </c>
      <c r="E182" s="53">
        <v>31</v>
      </c>
      <c r="F182" s="53">
        <v>0</v>
      </c>
      <c r="G182" s="53">
        <v>1</v>
      </c>
      <c r="H182" s="53">
        <v>255</v>
      </c>
      <c r="I182" s="66">
        <v>6.5</v>
      </c>
      <c r="J182" s="53">
        <f t="shared" si="20"/>
        <v>61536245.823144458</v>
      </c>
      <c r="K182" s="5"/>
      <c r="L182" s="1"/>
      <c r="N182" s="1">
        <f t="shared" si="22"/>
        <v>1499426.4464777559</v>
      </c>
      <c r="O182" s="35">
        <f t="shared" si="23"/>
        <v>2.4975114638742964E-2</v>
      </c>
      <c r="Q182" s="28"/>
    </row>
    <row r="183" spans="1:17" x14ac:dyDescent="0.2">
      <c r="A183" s="52">
        <v>41640</v>
      </c>
      <c r="B183" s="53">
        <v>63463232.333333299</v>
      </c>
      <c r="C183" s="54">
        <v>1024.8</v>
      </c>
      <c r="D183" s="54">
        <v>0</v>
      </c>
      <c r="E183" s="53">
        <v>31</v>
      </c>
      <c r="F183" s="53">
        <v>0</v>
      </c>
      <c r="G183" s="53">
        <v>1</v>
      </c>
      <c r="H183" s="53">
        <v>251.9</v>
      </c>
      <c r="I183" s="66">
        <v>7.4</v>
      </c>
      <c r="J183" s="53">
        <f t="shared" si="20"/>
        <v>62925090.367993094</v>
      </c>
      <c r="K183" s="5"/>
      <c r="L183" s="1"/>
      <c r="N183" s="1">
        <f t="shared" si="22"/>
        <v>-538141.96534020454</v>
      </c>
      <c r="O183" s="35">
        <f t="shared" si="23"/>
        <v>8.4795864558816665E-3</v>
      </c>
      <c r="Q183" s="28"/>
    </row>
    <row r="184" spans="1:17" x14ac:dyDescent="0.2">
      <c r="A184" s="52">
        <v>41671</v>
      </c>
      <c r="B184" s="53">
        <v>54070343</v>
      </c>
      <c r="C184" s="54">
        <v>883.40000000000009</v>
      </c>
      <c r="D184" s="54">
        <v>0</v>
      </c>
      <c r="E184" s="53">
        <v>28</v>
      </c>
      <c r="F184" s="53">
        <v>0</v>
      </c>
      <c r="G184" s="53">
        <v>1</v>
      </c>
      <c r="H184" s="53">
        <v>250.1</v>
      </c>
      <c r="I184" s="66">
        <v>7.6</v>
      </c>
      <c r="J184" s="53">
        <f t="shared" si="20"/>
        <v>55873437.004978001</v>
      </c>
      <c r="K184" s="5"/>
      <c r="L184" s="1"/>
      <c r="N184" s="1">
        <f t="shared" si="22"/>
        <v>1803094.0049780011</v>
      </c>
      <c r="O184" s="35">
        <f t="shared" si="23"/>
        <v>3.3347190066428854E-2</v>
      </c>
      <c r="Q184" s="28"/>
    </row>
    <row r="185" spans="1:17" x14ac:dyDescent="0.2">
      <c r="A185" s="52">
        <v>41699</v>
      </c>
      <c r="B185" s="53">
        <v>56439184.730000004</v>
      </c>
      <c r="C185" s="54">
        <v>879.69999999999982</v>
      </c>
      <c r="D185" s="54">
        <v>0</v>
      </c>
      <c r="E185" s="53">
        <v>31</v>
      </c>
      <c r="F185" s="53">
        <v>1</v>
      </c>
      <c r="G185" s="53">
        <v>1</v>
      </c>
      <c r="H185" s="53">
        <v>247.3</v>
      </c>
      <c r="I185" s="66">
        <v>8.1</v>
      </c>
      <c r="J185" s="53">
        <f t="shared" si="20"/>
        <v>57295441.84807685</v>
      </c>
      <c r="K185" s="5"/>
      <c r="L185" s="1"/>
      <c r="N185" s="1">
        <f t="shared" si="22"/>
        <v>856257.118076846</v>
      </c>
      <c r="O185" s="35">
        <f t="shared" si="23"/>
        <v>1.5171323295563238E-2</v>
      </c>
      <c r="Q185" s="28"/>
    </row>
    <row r="186" spans="1:17" x14ac:dyDescent="0.2">
      <c r="A186" s="52">
        <v>41730</v>
      </c>
      <c r="B186" s="53">
        <v>44570606.713333301</v>
      </c>
      <c r="C186" s="54">
        <v>482.99999999999994</v>
      </c>
      <c r="D186" s="54">
        <v>0</v>
      </c>
      <c r="E186" s="53">
        <v>30</v>
      </c>
      <c r="F186" s="53">
        <v>1</v>
      </c>
      <c r="G186" s="53">
        <v>1</v>
      </c>
      <c r="H186" s="53">
        <v>247.5</v>
      </c>
      <c r="I186" s="66">
        <v>7.8</v>
      </c>
      <c r="J186" s="53">
        <f t="shared" si="20"/>
        <v>46220065.04968553</v>
      </c>
      <c r="K186" s="5"/>
      <c r="L186" s="1"/>
      <c r="N186" s="1">
        <f t="shared" si="22"/>
        <v>1649458.3363522291</v>
      </c>
      <c r="O186" s="35">
        <f t="shared" si="23"/>
        <v>3.700776044986602E-2</v>
      </c>
      <c r="Q186" s="28"/>
    </row>
    <row r="187" spans="1:17" x14ac:dyDescent="0.2">
      <c r="A187" s="52">
        <v>41760</v>
      </c>
      <c r="B187" s="53">
        <v>39797076.2330769</v>
      </c>
      <c r="C187" s="54">
        <v>199.79999999999998</v>
      </c>
      <c r="D187" s="54">
        <v>1.3</v>
      </c>
      <c r="E187" s="53">
        <v>31</v>
      </c>
      <c r="F187" s="53">
        <v>1</v>
      </c>
      <c r="G187" s="53">
        <v>1</v>
      </c>
      <c r="H187" s="53">
        <v>250.6</v>
      </c>
      <c r="I187" s="66">
        <v>7.8</v>
      </c>
      <c r="J187" s="53">
        <f t="shared" si="20"/>
        <v>40502432.625723407</v>
      </c>
      <c r="K187" s="5"/>
      <c r="L187" s="1"/>
      <c r="N187" s="1">
        <f t="shared" si="22"/>
        <v>705356.39264650643</v>
      </c>
      <c r="O187" s="35">
        <f t="shared" si="23"/>
        <v>1.77238244466878E-2</v>
      </c>
      <c r="Q187" s="28"/>
    </row>
    <row r="188" spans="1:17" x14ac:dyDescent="0.2">
      <c r="A188" s="52">
        <v>41791</v>
      </c>
      <c r="B188" s="53">
        <v>39266619.640000001</v>
      </c>
      <c r="C188" s="54">
        <v>53.399999999999991</v>
      </c>
      <c r="D188" s="54">
        <v>24.1</v>
      </c>
      <c r="E188" s="53">
        <v>30</v>
      </c>
      <c r="F188" s="53">
        <v>0</v>
      </c>
      <c r="G188" s="53">
        <v>1</v>
      </c>
      <c r="H188" s="53">
        <v>257.10000000000002</v>
      </c>
      <c r="I188" s="66">
        <v>7.1</v>
      </c>
      <c r="J188" s="53">
        <f t="shared" si="20"/>
        <v>39607548.53747943</v>
      </c>
      <c r="K188" s="5"/>
      <c r="L188" s="1"/>
      <c r="N188" s="1">
        <f t="shared" si="22"/>
        <v>340928.89747942984</v>
      </c>
      <c r="O188" s="35">
        <f t="shared" si="23"/>
        <v>8.6824101642845111E-3</v>
      </c>
      <c r="Q188" s="28"/>
    </row>
    <row r="189" spans="1:17" x14ac:dyDescent="0.2">
      <c r="A189" s="52">
        <v>41821</v>
      </c>
      <c r="B189" s="53">
        <v>40614145.310000002</v>
      </c>
      <c r="C189" s="54">
        <v>57.800000000000004</v>
      </c>
      <c r="D189" s="54">
        <v>17.900000000000002</v>
      </c>
      <c r="E189" s="53">
        <v>31</v>
      </c>
      <c r="F189" s="53">
        <v>0</v>
      </c>
      <c r="G189" s="53">
        <v>1</v>
      </c>
      <c r="H189" s="53">
        <v>262.8</v>
      </c>
      <c r="I189" s="66">
        <v>6.9</v>
      </c>
      <c r="J189" s="53">
        <f t="shared" si="20"/>
        <v>40594272.591503441</v>
      </c>
      <c r="K189" s="5"/>
      <c r="L189" s="1"/>
      <c r="N189" s="1">
        <f t="shared" si="22"/>
        <v>-19872.71849656105</v>
      </c>
      <c r="O189" s="35">
        <f t="shared" si="23"/>
        <v>4.8930534780127443E-4</v>
      </c>
      <c r="Q189" s="28"/>
    </row>
    <row r="190" spans="1:17" x14ac:dyDescent="0.2">
      <c r="A190" s="52">
        <v>41852</v>
      </c>
      <c r="B190" s="53">
        <v>40130105.350000001</v>
      </c>
      <c r="C190" s="54">
        <v>60</v>
      </c>
      <c r="D190" s="54">
        <v>16.399999999999999</v>
      </c>
      <c r="E190" s="53">
        <v>31</v>
      </c>
      <c r="F190" s="53">
        <v>0</v>
      </c>
      <c r="G190" s="53">
        <v>1</v>
      </c>
      <c r="H190" s="53">
        <v>263.60000000000002</v>
      </c>
      <c r="I190" s="66">
        <v>7.3</v>
      </c>
      <c r="J190" s="53">
        <f t="shared" si="20"/>
        <v>40560689.752211437</v>
      </c>
      <c r="K190" s="5"/>
      <c r="L190" s="1"/>
      <c r="N190" s="1">
        <f t="shared" si="22"/>
        <v>430584.40221143514</v>
      </c>
      <c r="O190" s="35">
        <f t="shared" si="23"/>
        <v>1.0729710237639212E-2</v>
      </c>
      <c r="Q190" s="28"/>
    </row>
    <row r="191" spans="1:17" x14ac:dyDescent="0.2">
      <c r="A191" s="52">
        <v>41883</v>
      </c>
      <c r="B191" s="53">
        <v>39320268.8430769</v>
      </c>
      <c r="C191" s="54">
        <v>157</v>
      </c>
      <c r="D191" s="54">
        <v>4.5999999999999996</v>
      </c>
      <c r="E191" s="53">
        <v>30</v>
      </c>
      <c r="F191" s="53">
        <v>1</v>
      </c>
      <c r="G191" s="53">
        <v>1</v>
      </c>
      <c r="H191" s="53">
        <v>261</v>
      </c>
      <c r="I191" s="66">
        <v>7.3</v>
      </c>
      <c r="J191" s="53">
        <f t="shared" si="20"/>
        <v>38977663.359761417</v>
      </c>
      <c r="K191" s="5"/>
      <c r="L191" s="1"/>
      <c r="N191" s="1">
        <f t="shared" si="22"/>
        <v>-342605.48331548274</v>
      </c>
      <c r="O191" s="35">
        <f t="shared" si="23"/>
        <v>8.7132029712916146E-3</v>
      </c>
      <c r="Q191" s="28"/>
    </row>
    <row r="192" spans="1:17" x14ac:dyDescent="0.2">
      <c r="A192" s="52">
        <v>41913</v>
      </c>
      <c r="B192" s="53">
        <v>41890567.630000003</v>
      </c>
      <c r="C192" s="54">
        <v>341.59999999999997</v>
      </c>
      <c r="D192" s="54">
        <v>0</v>
      </c>
      <c r="E192" s="53">
        <v>31</v>
      </c>
      <c r="F192" s="53">
        <v>1</v>
      </c>
      <c r="G192" s="53">
        <v>1</v>
      </c>
      <c r="H192" s="53">
        <v>260.3</v>
      </c>
      <c r="I192" s="66">
        <v>6.6</v>
      </c>
      <c r="J192" s="53">
        <f t="shared" si="20"/>
        <v>44346534.536299661</v>
      </c>
      <c r="K192" s="5"/>
      <c r="L192" s="1"/>
      <c r="N192" s="1">
        <f t="shared" si="22"/>
        <v>2455966.9062996581</v>
      </c>
      <c r="O192" s="35">
        <f t="shared" si="23"/>
        <v>5.8628160114517359E-2</v>
      </c>
      <c r="Q192" s="28"/>
    </row>
    <row r="193" spans="1:17" x14ac:dyDescent="0.2">
      <c r="A193" s="52">
        <v>41944</v>
      </c>
      <c r="B193" s="53">
        <v>48281109.329999998</v>
      </c>
      <c r="C193" s="54">
        <v>642.99999999999989</v>
      </c>
      <c r="D193" s="54">
        <v>0</v>
      </c>
      <c r="E193" s="53">
        <v>30</v>
      </c>
      <c r="F193" s="53">
        <v>1</v>
      </c>
      <c r="G193" s="53">
        <v>1</v>
      </c>
      <c r="H193" s="53">
        <v>260.89999999999998</v>
      </c>
      <c r="I193" s="66">
        <v>5.0999999999999996</v>
      </c>
      <c r="J193" s="53">
        <f t="shared" si="20"/>
        <v>50776752.68548952</v>
      </c>
      <c r="K193" s="5"/>
      <c r="L193" s="1"/>
      <c r="N193" s="1">
        <f t="shared" si="22"/>
        <v>2495643.3554895222</v>
      </c>
      <c r="O193" s="35">
        <f t="shared" si="23"/>
        <v>5.1689851167914795E-2</v>
      </c>
      <c r="Q193" s="28"/>
    </row>
    <row r="194" spans="1:17" x14ac:dyDescent="0.2">
      <c r="A194" s="52">
        <v>41974</v>
      </c>
      <c r="B194" s="53">
        <v>53346472.609999999</v>
      </c>
      <c r="C194" s="54">
        <v>710.49999999999989</v>
      </c>
      <c r="D194" s="54">
        <v>0</v>
      </c>
      <c r="E194" s="53">
        <v>31</v>
      </c>
      <c r="F194" s="53">
        <v>0</v>
      </c>
      <c r="G194" s="53">
        <v>1</v>
      </c>
      <c r="H194" s="53">
        <v>261.60000000000002</v>
      </c>
      <c r="I194" s="66">
        <v>5</v>
      </c>
      <c r="J194" s="53">
        <f t="shared" si="20"/>
        <v>55447936.070371717</v>
      </c>
      <c r="K194" s="5"/>
      <c r="L194" s="1"/>
      <c r="N194" s="1">
        <f t="shared" si="22"/>
        <v>2101463.4603717178</v>
      </c>
      <c r="O194" s="35">
        <f t="shared" si="23"/>
        <v>3.939273503114038E-2</v>
      </c>
      <c r="Q194" s="28"/>
    </row>
    <row r="195" spans="1:17" x14ac:dyDescent="0.2">
      <c r="A195" s="52">
        <v>42005</v>
      </c>
      <c r="B195" s="53"/>
      <c r="C195" s="67">
        <f>(C183+C171+C159+C147+C135+C123+C111+C99+C87+C75)/10</f>
        <v>915.44999999999982</v>
      </c>
      <c r="D195" s="67">
        <f>(D183+D171+D159+D147+D135+D123+D111+D99+D87+D75)/10</f>
        <v>0</v>
      </c>
      <c r="E195" s="53">
        <v>31</v>
      </c>
      <c r="F195" s="53">
        <v>0</v>
      </c>
      <c r="G195" s="53">
        <v>1</v>
      </c>
      <c r="H195" s="53">
        <v>261.60000000000002</v>
      </c>
      <c r="I195" s="66">
        <f t="shared" ref="I195:I206" si="24">I194</f>
        <v>5</v>
      </c>
      <c r="J195" s="53">
        <f t="shared" si="20"/>
        <v>60582468.973734431</v>
      </c>
      <c r="K195" s="5"/>
      <c r="L195" s="1"/>
      <c r="N195" s="1">
        <f>SUM(N3:N194)</f>
        <v>3.5762786865234375E-7</v>
      </c>
      <c r="O195" s="35">
        <f>AVERAGE(O3:O194)</f>
        <v>1.7295282365094308E-2</v>
      </c>
      <c r="P195" s="4" t="s">
        <v>40</v>
      </c>
      <c r="Q195" s="28"/>
    </row>
    <row r="196" spans="1:17" x14ac:dyDescent="0.2">
      <c r="A196" s="52">
        <v>42036</v>
      </c>
      <c r="B196" s="53"/>
      <c r="C196" s="67">
        <f t="shared" ref="C196:D206" si="25">(C184+C172+C160+C148+C136+C124+C112+C100+C88+C76)/10</f>
        <v>803.21000000000015</v>
      </c>
      <c r="D196" s="67">
        <f t="shared" si="25"/>
        <v>0</v>
      </c>
      <c r="E196" s="53">
        <v>28</v>
      </c>
      <c r="F196" s="53">
        <v>0</v>
      </c>
      <c r="G196" s="53">
        <v>1</v>
      </c>
      <c r="H196" s="53">
        <v>261.60000000000002</v>
      </c>
      <c r="I196" s="66">
        <f t="shared" si="24"/>
        <v>5</v>
      </c>
      <c r="J196" s="53">
        <f t="shared" ref="J196:J206" si="26">$Q$19+C196*$Q$20+D196*$Q$21+E196*$Q$22+F196*$Q$23+G196*$Q$24+H196*$Q$25</f>
        <v>54334997.950186022</v>
      </c>
      <c r="K196" s="5"/>
      <c r="L196" s="1"/>
      <c r="N196" s="3"/>
      <c r="O196" s="27"/>
      <c r="Q196" s="28"/>
    </row>
    <row r="197" spans="1:17" x14ac:dyDescent="0.2">
      <c r="A197" s="52">
        <v>42064</v>
      </c>
      <c r="B197" s="53"/>
      <c r="C197" s="67">
        <f t="shared" si="25"/>
        <v>684.83999999999992</v>
      </c>
      <c r="D197" s="67">
        <f t="shared" si="25"/>
        <v>6.9999999999999993E-2</v>
      </c>
      <c r="E197" s="53">
        <v>31</v>
      </c>
      <c r="F197" s="53">
        <v>1</v>
      </c>
      <c r="G197" s="53">
        <v>1</v>
      </c>
      <c r="H197" s="53">
        <v>261.60000000000002</v>
      </c>
      <c r="I197" s="66">
        <f t="shared" si="24"/>
        <v>5</v>
      </c>
      <c r="J197" s="53">
        <f t="shared" si="26"/>
        <v>53004450.327834673</v>
      </c>
      <c r="K197" s="5"/>
      <c r="L197" s="1"/>
      <c r="N197" s="3"/>
      <c r="O197" s="27"/>
      <c r="Q197" s="28"/>
    </row>
    <row r="198" spans="1:17" x14ac:dyDescent="0.2">
      <c r="A198" s="52">
        <v>42095</v>
      </c>
      <c r="B198" s="53"/>
      <c r="C198" s="67">
        <f t="shared" si="25"/>
        <v>410.3549999999999</v>
      </c>
      <c r="D198" s="67">
        <f t="shared" si="25"/>
        <v>5.9000000000000011E-2</v>
      </c>
      <c r="E198" s="53">
        <v>30</v>
      </c>
      <c r="F198" s="53">
        <v>1</v>
      </c>
      <c r="G198" s="53">
        <v>1</v>
      </c>
      <c r="H198" s="53">
        <v>261.60000000000002</v>
      </c>
      <c r="I198" s="66">
        <f t="shared" si="24"/>
        <v>5</v>
      </c>
      <c r="J198" s="53">
        <f t="shared" si="26"/>
        <v>44981804.925145537</v>
      </c>
      <c r="K198" s="5"/>
      <c r="L198" s="1"/>
      <c r="N198" s="3"/>
      <c r="O198" s="27"/>
      <c r="Q198" s="28"/>
    </row>
    <row r="199" spans="1:17" x14ac:dyDescent="0.2">
      <c r="A199" s="52">
        <v>42125</v>
      </c>
      <c r="B199" s="53"/>
      <c r="C199" s="67">
        <f t="shared" si="25"/>
        <v>194.45499999999998</v>
      </c>
      <c r="D199" s="67">
        <f t="shared" si="25"/>
        <v>9.14</v>
      </c>
      <c r="E199" s="53">
        <v>31</v>
      </c>
      <c r="F199" s="53">
        <v>1</v>
      </c>
      <c r="G199" s="53">
        <v>1</v>
      </c>
      <c r="H199" s="53">
        <v>261.60000000000002</v>
      </c>
      <c r="I199" s="66">
        <f t="shared" si="24"/>
        <v>5</v>
      </c>
      <c r="J199" s="53">
        <f t="shared" si="26"/>
        <v>41453278.420379661</v>
      </c>
      <c r="K199" s="5"/>
      <c r="L199" s="1"/>
      <c r="N199" s="3"/>
      <c r="O199" s="27"/>
      <c r="Q199" s="28"/>
    </row>
    <row r="200" spans="1:17" x14ac:dyDescent="0.2">
      <c r="A200" s="52">
        <v>42156</v>
      </c>
      <c r="B200" s="53"/>
      <c r="C200" s="67">
        <f t="shared" si="25"/>
        <v>63.844999999999992</v>
      </c>
      <c r="D200" s="67">
        <f t="shared" si="25"/>
        <v>34.1</v>
      </c>
      <c r="E200" s="53">
        <v>30</v>
      </c>
      <c r="F200" s="53">
        <v>0</v>
      </c>
      <c r="G200" s="53">
        <v>1</v>
      </c>
      <c r="H200" s="53">
        <v>261.60000000000002</v>
      </c>
      <c r="I200" s="66">
        <f t="shared" si="24"/>
        <v>5</v>
      </c>
      <c r="J200" s="53">
        <f t="shared" si="26"/>
        <v>40862884.17038209</v>
      </c>
      <c r="K200" s="5"/>
      <c r="L200" s="1"/>
      <c r="N200" s="3"/>
      <c r="O200" s="27"/>
      <c r="Q200" s="28"/>
    </row>
    <row r="201" spans="1:17" x14ac:dyDescent="0.2">
      <c r="A201" s="52">
        <v>42186</v>
      </c>
      <c r="B201" s="53"/>
      <c r="C201" s="67">
        <f t="shared" si="25"/>
        <v>22.815000000000001</v>
      </c>
      <c r="D201" s="67">
        <f t="shared" si="25"/>
        <v>60.570000000000007</v>
      </c>
      <c r="E201" s="53">
        <v>31</v>
      </c>
      <c r="F201" s="53">
        <v>0</v>
      </c>
      <c r="G201" s="53">
        <v>1</v>
      </c>
      <c r="H201" s="53">
        <v>261.60000000000002</v>
      </c>
      <c r="I201" s="66">
        <f t="shared" si="24"/>
        <v>5</v>
      </c>
      <c r="J201" s="53">
        <f t="shared" si="26"/>
        <v>43123018.293674007</v>
      </c>
      <c r="K201" s="5"/>
      <c r="L201" s="1"/>
      <c r="N201" s="3"/>
      <c r="O201" s="27"/>
      <c r="Q201" s="28"/>
    </row>
    <row r="202" spans="1:17" x14ac:dyDescent="0.2">
      <c r="A202" s="52">
        <v>42217</v>
      </c>
      <c r="B202" s="53"/>
      <c r="C202" s="67">
        <f t="shared" si="25"/>
        <v>38.510000000000005</v>
      </c>
      <c r="D202" s="67">
        <f t="shared" si="25"/>
        <v>39.844999999999999</v>
      </c>
      <c r="E202" s="53">
        <v>31</v>
      </c>
      <c r="F202" s="53">
        <v>0</v>
      </c>
      <c r="G202" s="53">
        <v>1</v>
      </c>
      <c r="H202" s="53">
        <v>261.60000000000002</v>
      </c>
      <c r="I202" s="66">
        <f t="shared" si="24"/>
        <v>5</v>
      </c>
      <c r="J202" s="53">
        <f t="shared" si="26"/>
        <v>41838445.966238901</v>
      </c>
      <c r="K202" s="5"/>
      <c r="L202" s="1"/>
      <c r="N202" s="3"/>
      <c r="O202" s="27"/>
      <c r="Q202" s="28"/>
    </row>
    <row r="203" spans="1:17" x14ac:dyDescent="0.2">
      <c r="A203" s="52">
        <v>42248</v>
      </c>
      <c r="B203" s="53"/>
      <c r="C203" s="67">
        <f t="shared" si="25"/>
        <v>145.185</v>
      </c>
      <c r="D203" s="67">
        <f t="shared" si="25"/>
        <v>9.1249999999999982</v>
      </c>
      <c r="E203" s="53">
        <v>30</v>
      </c>
      <c r="F203" s="53">
        <v>1</v>
      </c>
      <c r="G203" s="53">
        <v>1</v>
      </c>
      <c r="H203" s="53">
        <v>261.60000000000002</v>
      </c>
      <c r="I203" s="66">
        <f t="shared" si="24"/>
        <v>5</v>
      </c>
      <c r="J203" s="53">
        <f t="shared" si="26"/>
        <v>39072533.294270813</v>
      </c>
      <c r="K203" s="5"/>
      <c r="L203" s="1"/>
      <c r="N203" s="3"/>
      <c r="O203" s="27"/>
      <c r="Q203" s="28"/>
    </row>
    <row r="204" spans="1:17" x14ac:dyDescent="0.2">
      <c r="A204" s="52">
        <v>42278</v>
      </c>
      <c r="B204" s="53"/>
      <c r="C204" s="67">
        <f t="shared" si="25"/>
        <v>341.38499999999999</v>
      </c>
      <c r="D204" s="67">
        <f t="shared" si="25"/>
        <v>0.95</v>
      </c>
      <c r="E204" s="53">
        <v>31</v>
      </c>
      <c r="F204" s="53">
        <v>1</v>
      </c>
      <c r="G204" s="53">
        <v>1</v>
      </c>
      <c r="H204" s="53">
        <v>261.60000000000002</v>
      </c>
      <c r="I204" s="66">
        <f t="shared" si="24"/>
        <v>5</v>
      </c>
      <c r="J204" s="53">
        <f t="shared" si="26"/>
        <v>44471244.930080704</v>
      </c>
      <c r="K204" s="5"/>
      <c r="L204" s="1"/>
      <c r="N204" s="3"/>
      <c r="O204" s="27"/>
      <c r="Q204" s="28"/>
    </row>
    <row r="205" spans="1:17" x14ac:dyDescent="0.2">
      <c r="A205" s="52">
        <v>42309</v>
      </c>
      <c r="B205" s="53"/>
      <c r="C205" s="67">
        <f t="shared" si="25"/>
        <v>546.625</v>
      </c>
      <c r="D205" s="67">
        <f t="shared" si="25"/>
        <v>0</v>
      </c>
      <c r="E205" s="53">
        <v>30</v>
      </c>
      <c r="F205" s="53">
        <v>1</v>
      </c>
      <c r="G205" s="53">
        <v>1</v>
      </c>
      <c r="H205" s="53">
        <v>261.60000000000002</v>
      </c>
      <c r="I205" s="66">
        <f t="shared" si="24"/>
        <v>5</v>
      </c>
      <c r="J205" s="53">
        <f t="shared" si="26"/>
        <v>48390948.121496409</v>
      </c>
      <c r="K205" s="5"/>
      <c r="L205" s="1"/>
      <c r="N205" s="3"/>
      <c r="O205" s="27"/>
      <c r="Q205" s="28"/>
    </row>
    <row r="206" spans="1:17" x14ac:dyDescent="0.2">
      <c r="A206" s="52">
        <v>42339</v>
      </c>
      <c r="B206" s="53"/>
      <c r="C206" s="67">
        <f>(C194+C182+C170+C158+C146+C134+C122+C110+C98+C86)/10</f>
        <v>804.39999999999986</v>
      </c>
      <c r="D206" s="67">
        <f t="shared" si="25"/>
        <v>0</v>
      </c>
      <c r="E206" s="53">
        <v>31</v>
      </c>
      <c r="F206" s="53">
        <v>0</v>
      </c>
      <c r="G206" s="53">
        <v>1</v>
      </c>
      <c r="H206" s="53">
        <v>261.60000000000002</v>
      </c>
      <c r="I206" s="66">
        <f t="shared" si="24"/>
        <v>5</v>
      </c>
      <c r="J206" s="53">
        <f t="shared" si="26"/>
        <v>57800376.371058516</v>
      </c>
      <c r="K206" s="5"/>
      <c r="L206" s="1"/>
      <c r="N206" s="3"/>
      <c r="O206" s="27"/>
      <c r="Q206" s="28"/>
    </row>
    <row r="207" spans="1:17" x14ac:dyDescent="0.2">
      <c r="A207" s="52"/>
      <c r="B207" s="53"/>
      <c r="C207" s="54"/>
      <c r="D207" s="54"/>
      <c r="E207" s="53"/>
      <c r="F207" s="53"/>
      <c r="G207" s="53"/>
      <c r="H207" s="53"/>
      <c r="I207" s="53"/>
      <c r="J207" s="53"/>
      <c r="K207" s="5"/>
      <c r="L207" s="1"/>
      <c r="N207" s="3"/>
      <c r="O207" s="27"/>
      <c r="Q207" s="28"/>
    </row>
    <row r="208" spans="1:17" x14ac:dyDescent="0.2">
      <c r="A208" s="52"/>
      <c r="J208" s="56">
        <f>SUM(J3:J206)</f>
        <v>9984337610.335371</v>
      </c>
    </row>
    <row r="209" spans="1:17" x14ac:dyDescent="0.2">
      <c r="A209" s="52"/>
      <c r="J209" s="56"/>
    </row>
    <row r="210" spans="1:17" x14ac:dyDescent="0.2">
      <c r="A210" s="40"/>
      <c r="K210" s="11"/>
      <c r="L210" s="29"/>
    </row>
    <row r="211" spans="1:17" x14ac:dyDescent="0.2">
      <c r="A211" s="44" t="s">
        <v>37</v>
      </c>
    </row>
    <row r="212" spans="1:17" x14ac:dyDescent="0.2">
      <c r="A212" s="57">
        <v>1999</v>
      </c>
      <c r="B212" s="25">
        <f>SUM(B3:B14)</f>
        <v>586785297.19999993</v>
      </c>
      <c r="J212" s="25">
        <f>SUM(J3:J14)</f>
        <v>586911612.29473341</v>
      </c>
      <c r="N212" s="30">
        <f t="shared" ref="N212:N228" si="27">J212-B212</f>
        <v>126315.09473347664</v>
      </c>
      <c r="O212" s="31">
        <f t="shared" ref="O212:O227" si="28">N212/B212</f>
        <v>2.152662913270361E-4</v>
      </c>
    </row>
    <row r="213" spans="1:17" x14ac:dyDescent="0.2">
      <c r="A213" s="24">
        <v>2000</v>
      </c>
      <c r="B213" s="25">
        <f>SUM(B15:B26)</f>
        <v>590756479.69999993</v>
      </c>
      <c r="J213" s="25">
        <f>SUM(J15:J26)</f>
        <v>589393425.70437562</v>
      </c>
      <c r="N213" s="30">
        <f t="shared" si="27"/>
        <v>-1363053.9956243038</v>
      </c>
      <c r="O213" s="31">
        <f t="shared" si="28"/>
        <v>-2.3073026576305939E-3</v>
      </c>
    </row>
    <row r="214" spans="1:17" x14ac:dyDescent="0.2">
      <c r="A214" s="57">
        <v>2001</v>
      </c>
      <c r="B214" s="25">
        <f>SUM(B27:B38)</f>
        <v>587842839.79999995</v>
      </c>
      <c r="J214" s="25">
        <f>SUM(J27:J38)</f>
        <v>586575503.34495628</v>
      </c>
      <c r="N214" s="30">
        <f t="shared" si="27"/>
        <v>-1267336.4550436735</v>
      </c>
      <c r="O214" s="31">
        <f t="shared" si="28"/>
        <v>-2.1559103373188244E-3</v>
      </c>
    </row>
    <row r="215" spans="1:17" x14ac:dyDescent="0.2">
      <c r="A215" s="24">
        <v>2002</v>
      </c>
      <c r="B215" s="25">
        <f>SUM(B39:B50)</f>
        <v>593838876.10000002</v>
      </c>
      <c r="J215" s="25">
        <f>SUM(J39:J50)</f>
        <v>597944677.48649013</v>
      </c>
      <c r="N215" s="30">
        <f t="shared" si="27"/>
        <v>4105801.3864901066</v>
      </c>
      <c r="O215" s="31">
        <f t="shared" si="28"/>
        <v>6.9139989847998877E-3</v>
      </c>
    </row>
    <row r="216" spans="1:17" x14ac:dyDescent="0.2">
      <c r="A216" s="57">
        <v>2003</v>
      </c>
      <c r="B216" s="25">
        <f>SUM(B51:B62)</f>
        <v>594630408</v>
      </c>
      <c r="J216" s="25">
        <f>SUM(J51:J62)</f>
        <v>596029784.79185224</v>
      </c>
      <c r="N216" s="30">
        <f t="shared" si="27"/>
        <v>1399376.7918522358</v>
      </c>
      <c r="O216" s="31">
        <f t="shared" si="28"/>
        <v>2.3533555852936396E-3</v>
      </c>
    </row>
    <row r="217" spans="1:17" x14ac:dyDescent="0.2">
      <c r="A217" s="24">
        <v>2004</v>
      </c>
      <c r="B217" s="25">
        <f>SUM(B63:B74)</f>
        <v>601756740</v>
      </c>
      <c r="J217" s="25">
        <f>SUM(J63:J74)</f>
        <v>598165569.56122172</v>
      </c>
      <c r="N217" s="30">
        <f t="shared" si="27"/>
        <v>-3591170.4387782812</v>
      </c>
      <c r="O217" s="31">
        <f t="shared" si="28"/>
        <v>-5.9678109110639643E-3</v>
      </c>
    </row>
    <row r="218" spans="1:17" x14ac:dyDescent="0.2">
      <c r="A218" s="57">
        <v>2005</v>
      </c>
      <c r="B218" s="25">
        <f>SUM(B75:B86)</f>
        <v>606363661</v>
      </c>
      <c r="J218" s="25">
        <f>SUM(J75:J86)</f>
        <v>602266945.86613977</v>
      </c>
      <c r="N218" s="30">
        <f t="shared" si="27"/>
        <v>-4096715.1338602304</v>
      </c>
      <c r="O218" s="31">
        <f t="shared" si="28"/>
        <v>-6.756201595432069E-3</v>
      </c>
    </row>
    <row r="219" spans="1:17" x14ac:dyDescent="0.2">
      <c r="A219" s="24">
        <v>2006</v>
      </c>
      <c r="B219" s="25">
        <f>SUM(B87:B98)</f>
        <v>585762798</v>
      </c>
      <c r="J219" s="25">
        <f>SUM(J87:J98)</f>
        <v>585683485.52220523</v>
      </c>
      <c r="N219" s="30">
        <f t="shared" si="27"/>
        <v>-79312.477794766426</v>
      </c>
      <c r="O219" s="31">
        <f t="shared" si="28"/>
        <v>-1.3540033280632892E-4</v>
      </c>
    </row>
    <row r="220" spans="1:17" x14ac:dyDescent="0.2">
      <c r="A220" s="57">
        <v>2007</v>
      </c>
      <c r="B220" s="25">
        <f>SUM(B99:B110)</f>
        <v>598640314</v>
      </c>
      <c r="J220" s="25">
        <f>SUM(J99:J110)</f>
        <v>599963153.62338722</v>
      </c>
      <c r="N220" s="30">
        <f t="shared" si="27"/>
        <v>1322839.6233872175</v>
      </c>
      <c r="O220" s="31">
        <f t="shared" si="28"/>
        <v>2.2097402938807383E-3</v>
      </c>
    </row>
    <row r="221" spans="1:17" x14ac:dyDescent="0.2">
      <c r="A221" s="24">
        <v>2008</v>
      </c>
      <c r="B221" s="25">
        <f>SUM(B111:B122)</f>
        <v>594903991</v>
      </c>
      <c r="J221" s="25">
        <f>SUM(J111:J122)</f>
        <v>595425196.75229287</v>
      </c>
      <c r="N221" s="30">
        <f t="shared" si="27"/>
        <v>521205.75229287148</v>
      </c>
      <c r="O221" s="31">
        <f t="shared" si="28"/>
        <v>8.7611742428682327E-4</v>
      </c>
    </row>
    <row r="222" spans="1:17" x14ac:dyDescent="0.2">
      <c r="A222" s="24">
        <v>2009</v>
      </c>
      <c r="B222" s="25">
        <f>SUM(B123:B134)</f>
        <v>580320683.07692301</v>
      </c>
      <c r="J222" s="25">
        <f>SUM(J123:J134)</f>
        <v>590126981.96887362</v>
      </c>
      <c r="N222" s="30">
        <f t="shared" si="27"/>
        <v>9806298.8919506073</v>
      </c>
      <c r="O222" s="31">
        <f t="shared" si="28"/>
        <v>1.6898068908997952E-2</v>
      </c>
    </row>
    <row r="223" spans="1:17" x14ac:dyDescent="0.2">
      <c r="A223" s="24">
        <v>2010</v>
      </c>
      <c r="B223" s="25">
        <f>SUM(B135:B146)</f>
        <v>592105953.84615386</v>
      </c>
      <c r="G223" s="58"/>
      <c r="H223" s="58"/>
      <c r="I223" s="58"/>
      <c r="J223" s="25">
        <f>SUM(J135:J146)</f>
        <v>586250417.5643965</v>
      </c>
      <c r="N223" s="30">
        <f t="shared" si="27"/>
        <v>-5855536.2817573547</v>
      </c>
      <c r="O223" s="31">
        <f t="shared" si="28"/>
        <v>-9.8893386288745055E-3</v>
      </c>
      <c r="P223" s="33"/>
      <c r="Q223" s="33"/>
    </row>
    <row r="224" spans="1:17" x14ac:dyDescent="0.2">
      <c r="A224" s="24">
        <v>2011</v>
      </c>
      <c r="B224" s="25">
        <f>SUM(B147:B158)</f>
        <v>593738607.69230771</v>
      </c>
      <c r="G224" s="58"/>
      <c r="H224" s="58"/>
      <c r="I224" s="58"/>
      <c r="J224" s="25">
        <f>SUM(J147:J158)</f>
        <v>593892638.65593183</v>
      </c>
      <c r="N224" s="30">
        <f t="shared" si="27"/>
        <v>154030.96362411976</v>
      </c>
      <c r="O224" s="31">
        <f t="shared" si="28"/>
        <v>2.5942554792384836E-4</v>
      </c>
      <c r="P224" s="33"/>
      <c r="Q224" s="33"/>
    </row>
    <row r="225" spans="1:18" x14ac:dyDescent="0.2">
      <c r="A225" s="24">
        <v>2012</v>
      </c>
      <c r="B225" s="25">
        <f>SUM(B159:B170)</f>
        <v>572612692.67601395</v>
      </c>
      <c r="G225" s="58"/>
      <c r="H225" s="58"/>
      <c r="I225" s="58"/>
      <c r="J225" s="25">
        <f>SUM(J159:J170)</f>
        <v>561301583.7475189</v>
      </c>
      <c r="N225" s="30">
        <f t="shared" si="27"/>
        <v>-11311108.928495049</v>
      </c>
      <c r="O225" s="31">
        <f t="shared" si="28"/>
        <v>-1.9753507166658128E-2</v>
      </c>
      <c r="P225" s="23"/>
      <c r="Q225" s="33"/>
    </row>
    <row r="226" spans="1:18" x14ac:dyDescent="0.2">
      <c r="A226" s="24">
        <v>2013</v>
      </c>
      <c r="B226" s="25">
        <f>SUM(B171:B182)</f>
        <v>573172084.77666664</v>
      </c>
      <c r="G226" s="58"/>
      <c r="H226" s="58"/>
      <c r="I226" s="58"/>
      <c r="J226" s="25">
        <f>SUM(J171:J182)</f>
        <v>571362317.27693713</v>
      </c>
      <c r="N226" s="30">
        <f t="shared" si="27"/>
        <v>-1809767.4997295141</v>
      </c>
      <c r="O226" s="31">
        <f t="shared" si="28"/>
        <v>-3.1574592479232133E-3</v>
      </c>
      <c r="P226" s="23"/>
      <c r="Q226" s="33"/>
    </row>
    <row r="227" spans="1:18" x14ac:dyDescent="0.2">
      <c r="A227" s="24">
        <v>2014</v>
      </c>
      <c r="B227" s="25">
        <f>SUM(B183:B194)</f>
        <v>561189731.7228204</v>
      </c>
      <c r="G227" s="58"/>
      <c r="H227" s="58"/>
      <c r="I227" s="58"/>
      <c r="J227" s="25">
        <f>SUM(J183:J194)</f>
        <v>573127864.42957354</v>
      </c>
      <c r="N227" s="30">
        <f t="shared" si="27"/>
        <v>11938132.706753135</v>
      </c>
      <c r="O227" s="31">
        <f t="shared" si="28"/>
        <v>2.1272899399110083E-2</v>
      </c>
      <c r="P227" s="23"/>
      <c r="Q227" s="30"/>
      <c r="R227" s="30"/>
    </row>
    <row r="228" spans="1:18" x14ac:dyDescent="0.2">
      <c r="A228" s="24">
        <v>2015</v>
      </c>
      <c r="B228" s="25">
        <f>SUM(B195:B206)</f>
        <v>0</v>
      </c>
      <c r="G228" s="58"/>
      <c r="H228" s="58"/>
      <c r="I228" s="58"/>
      <c r="J228" s="25">
        <f>SUM(J195:J206)</f>
        <v>569916451.74448168</v>
      </c>
      <c r="N228" s="30">
        <f t="shared" si="27"/>
        <v>569916451.74448168</v>
      </c>
      <c r="O228" s="47"/>
      <c r="P228" s="30"/>
      <c r="Q228" s="48"/>
      <c r="R228" s="45"/>
    </row>
    <row r="229" spans="1:18" x14ac:dyDescent="0.2">
      <c r="G229" s="58"/>
      <c r="H229" s="58"/>
      <c r="I229" s="58"/>
      <c r="J229" s="25"/>
      <c r="N229" s="34"/>
      <c r="O229" s="35"/>
      <c r="P229" s="33"/>
      <c r="Q229" s="49"/>
    </row>
    <row r="230" spans="1:18" x14ac:dyDescent="0.2">
      <c r="G230" s="58"/>
      <c r="H230" s="58"/>
      <c r="I230" s="58"/>
      <c r="J230" s="59"/>
      <c r="N230" s="32"/>
      <c r="O230" s="32"/>
      <c r="P230" s="33"/>
      <c r="Q230" s="49"/>
    </row>
    <row r="231" spans="1:18" ht="13.5" thickBot="1" x14ac:dyDescent="0.25">
      <c r="A231" s="60" t="s">
        <v>36</v>
      </c>
      <c r="B231" s="25">
        <f>SUM(B212:B227)</f>
        <v>9414421158.5908852</v>
      </c>
      <c r="G231" s="58"/>
      <c r="H231" s="58"/>
      <c r="I231" s="58"/>
      <c r="J231" s="25">
        <f>SUM(J212:J227)</f>
        <v>9414421158.5908852</v>
      </c>
      <c r="N231" s="41">
        <f>J231-B231</f>
        <v>0</v>
      </c>
      <c r="O231" s="32"/>
      <c r="P231" s="33"/>
      <c r="Q231" s="49"/>
    </row>
    <row r="232" spans="1:18" x14ac:dyDescent="0.2">
      <c r="G232" s="58"/>
      <c r="H232" s="58"/>
      <c r="I232" s="58"/>
      <c r="J232" s="58"/>
      <c r="N232" s="32"/>
      <c r="O232" s="32"/>
      <c r="P232" s="33"/>
      <c r="Q232" s="33"/>
    </row>
    <row r="233" spans="1:18" ht="13.5" thickBot="1" x14ac:dyDescent="0.25">
      <c r="G233" s="58"/>
      <c r="H233" s="58"/>
      <c r="I233" s="58"/>
      <c r="J233" s="26">
        <f>SUM(J212:J228)</f>
        <v>9984337610.3353672</v>
      </c>
      <c r="N233" s="42">
        <f>J208-J233</f>
        <v>0</v>
      </c>
      <c r="O233" s="36"/>
      <c r="P233" s="33"/>
      <c r="Q233" s="33"/>
    </row>
    <row r="234" spans="1:18" x14ac:dyDescent="0.2">
      <c r="G234" s="58"/>
      <c r="H234" s="58"/>
      <c r="I234" s="58"/>
      <c r="J234" s="58"/>
      <c r="N234" s="32" t="s">
        <v>31</v>
      </c>
      <c r="O234" s="32"/>
      <c r="P234" s="33"/>
      <c r="Q234" s="33"/>
    </row>
    <row r="235" spans="1:18" x14ac:dyDescent="0.2">
      <c r="G235" s="58"/>
      <c r="H235" s="58"/>
      <c r="I235" s="58"/>
      <c r="J235" s="58"/>
      <c r="N235" s="32"/>
      <c r="O235" s="32"/>
      <c r="P235" s="33"/>
      <c r="Q235" s="33"/>
    </row>
    <row r="236" spans="1:18" customFormat="1" x14ac:dyDescent="0.2"/>
    <row r="237" spans="1:18" customFormat="1" x14ac:dyDescent="0.2"/>
    <row r="238" spans="1:18" customFormat="1" x14ac:dyDescent="0.2"/>
    <row r="239" spans="1:18" customFormat="1" x14ac:dyDescent="0.2"/>
    <row r="240" spans="1:18" customFormat="1" x14ac:dyDescent="0.2"/>
    <row r="241" customFormat="1" x14ac:dyDescent="0.2"/>
  </sheetData>
  <phoneticPr fontId="0" type="noConversion"/>
  <pageMargins left="0.39" right="0.26" top="1" bottom="1" header="0.5" footer="0.5"/>
  <pageSetup orientation="landscape" verticalDpi="300" r:id="rId1"/>
  <headerFooter alignWithMargins="0">
    <oddFooter>&amp;C&amp;A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Purchased Power Model</vt:lpstr>
      <vt:lpstr>'Purchased Power Model'!Print_Area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Melissa Casson</cp:lastModifiedBy>
  <cp:lastPrinted>2014-12-08T18:53:42Z</cp:lastPrinted>
  <dcterms:created xsi:type="dcterms:W3CDTF">2008-02-06T18:24:44Z</dcterms:created>
  <dcterms:modified xsi:type="dcterms:W3CDTF">2015-04-22T19:28:30Z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