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2.xml" ContentType="application/vnd.openxmlformats-officedocument.spreadsheetml.comment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75" yWindow="75" windowWidth="19440" windowHeight="10275" tabRatio="896" firstSheet="3" activeTab="17"/>
  </bookViews>
  <sheets>
    <sheet name="DetailedSaving" sheetId="17" r:id="rId1"/>
    <sheet name="Past Savings" sheetId="2" r:id="rId2"/>
    <sheet name="Forecasted Targets" sheetId="1" r:id="rId3"/>
    <sheet name="Comm Breakdown" sheetId="15" r:id="rId4"/>
    <sheet name="2011" sheetId="12" r:id="rId5"/>
    <sheet name="2012" sheetId="13" r:id="rId6"/>
    <sheet name="2013" sheetId="14" r:id="rId7"/>
    <sheet name="2014" sheetId="10" r:id="rId8"/>
    <sheet name="2015" sheetId="3" r:id="rId9"/>
    <sheet name="2016" sheetId="4" r:id="rId10"/>
    <sheet name="2017" sheetId="5" r:id="rId11"/>
    <sheet name="2018" sheetId="6" r:id="rId12"/>
    <sheet name="2019" sheetId="7" r:id="rId13"/>
    <sheet name="2020" sheetId="8" r:id="rId14"/>
    <sheet name="AnnualSavings" sheetId="16" r:id="rId15"/>
    <sheet name="ZeroSavings" sheetId="18" r:id="rId16"/>
    <sheet name="HalfSavings" sheetId="9" r:id="rId17"/>
    <sheet name="AllSavings" sheetId="19" r:id="rId18"/>
  </sheets>
  <definedNames>
    <definedName name="_xlnm.Print_Area" localSheetId="2">'Forecasted Targets'!$A$2:$P$51</definedName>
  </definedNames>
  <calcPr calcId="145621"/>
</workbook>
</file>

<file path=xl/calcChain.xml><?xml version="1.0" encoding="utf-8"?>
<calcChain xmlns="http://schemas.openxmlformats.org/spreadsheetml/2006/main">
  <c r="C14" i="3" l="1"/>
  <c r="I2" i="3"/>
  <c r="I6" i="3"/>
  <c r="C2" i="3"/>
  <c r="C47" i="9"/>
  <c r="D47" i="9"/>
  <c r="E47" i="9"/>
  <c r="F47" i="9"/>
  <c r="G47" i="9"/>
  <c r="H47" i="9"/>
  <c r="I47" i="9"/>
  <c r="C48" i="9"/>
  <c r="D48" i="9"/>
  <c r="E48" i="9"/>
  <c r="F48" i="9"/>
  <c r="G48" i="9"/>
  <c r="H48" i="9"/>
  <c r="I48" i="9"/>
  <c r="C49" i="9"/>
  <c r="D49" i="9"/>
  <c r="E49" i="9"/>
  <c r="F49" i="9"/>
  <c r="G49" i="9"/>
  <c r="H49" i="9"/>
  <c r="I49" i="9"/>
  <c r="C50" i="9"/>
  <c r="D50" i="9"/>
  <c r="E50" i="9"/>
  <c r="F50" i="9"/>
  <c r="G50" i="9"/>
  <c r="H50" i="9"/>
  <c r="I50" i="9"/>
  <c r="C51" i="9"/>
  <c r="D51" i="9"/>
  <c r="E51" i="9"/>
  <c r="F51" i="9"/>
  <c r="G51" i="9"/>
  <c r="H51" i="9"/>
  <c r="I51" i="9"/>
  <c r="C52" i="9"/>
  <c r="D52" i="9"/>
  <c r="E52" i="9"/>
  <c r="F52" i="9"/>
  <c r="G52" i="9"/>
  <c r="H52" i="9"/>
  <c r="I52" i="9"/>
  <c r="C53" i="9"/>
  <c r="D53" i="9"/>
  <c r="E53" i="9"/>
  <c r="F53" i="9"/>
  <c r="G53" i="9"/>
  <c r="H53" i="9"/>
  <c r="I53" i="9"/>
  <c r="C54" i="9"/>
  <c r="D54" i="9"/>
  <c r="E54" i="9"/>
  <c r="F54" i="9"/>
  <c r="G54" i="9"/>
  <c r="H54" i="9"/>
  <c r="I54" i="9"/>
  <c r="C55" i="9"/>
  <c r="D55" i="9"/>
  <c r="E55" i="9"/>
  <c r="F55" i="9"/>
  <c r="G55" i="9"/>
  <c r="H55" i="9"/>
  <c r="I55" i="9"/>
  <c r="C56" i="9"/>
  <c r="D56" i="9"/>
  <c r="E56" i="9"/>
  <c r="F56" i="9"/>
  <c r="G56" i="9"/>
  <c r="H56" i="9"/>
  <c r="I56" i="9"/>
  <c r="C57" i="9"/>
  <c r="D57" i="9"/>
  <c r="E57" i="9"/>
  <c r="F57" i="9"/>
  <c r="G57" i="9"/>
  <c r="H57" i="9"/>
  <c r="I57" i="9"/>
  <c r="C58" i="9"/>
  <c r="D58" i="9"/>
  <c r="E58" i="9"/>
  <c r="F58" i="9"/>
  <c r="G58" i="9"/>
  <c r="H58" i="9"/>
  <c r="I58" i="9"/>
  <c r="C59" i="9"/>
  <c r="D59" i="9"/>
  <c r="E59" i="9"/>
  <c r="F59" i="9"/>
  <c r="G59" i="9"/>
  <c r="H59" i="9"/>
  <c r="I59" i="9"/>
  <c r="C60" i="9"/>
  <c r="D60" i="9"/>
  <c r="E60" i="9"/>
  <c r="F60" i="9"/>
  <c r="G60" i="9"/>
  <c r="H60" i="9"/>
  <c r="I60" i="9"/>
  <c r="C61" i="9"/>
  <c r="D61" i="9"/>
  <c r="E61" i="9"/>
  <c r="F61" i="9"/>
  <c r="G61" i="9"/>
  <c r="H61" i="9"/>
  <c r="I61" i="9"/>
  <c r="C62" i="9"/>
  <c r="D62" i="9"/>
  <c r="E62" i="9"/>
  <c r="F62" i="9"/>
  <c r="G62" i="9"/>
  <c r="H62" i="9"/>
  <c r="I62" i="9"/>
  <c r="C63" i="9"/>
  <c r="D63" i="9"/>
  <c r="E63" i="9"/>
  <c r="F63" i="9"/>
  <c r="G63" i="9"/>
  <c r="H63" i="9"/>
  <c r="I63" i="9"/>
  <c r="C64" i="9"/>
  <c r="D64" i="9"/>
  <c r="E64" i="9"/>
  <c r="F64" i="9"/>
  <c r="G64" i="9"/>
  <c r="H64" i="9"/>
  <c r="I64" i="9"/>
  <c r="C65" i="9"/>
  <c r="D65" i="9"/>
  <c r="E65" i="9"/>
  <c r="F65" i="9"/>
  <c r="G65" i="9"/>
  <c r="H65" i="9"/>
  <c r="I65" i="9"/>
  <c r="C66" i="9"/>
  <c r="D66" i="9"/>
  <c r="E66" i="9"/>
  <c r="F66" i="9"/>
  <c r="G66" i="9"/>
  <c r="H66" i="9"/>
  <c r="I66" i="9"/>
  <c r="C67" i="9"/>
  <c r="D67" i="9"/>
  <c r="E67" i="9"/>
  <c r="F67" i="9"/>
  <c r="G67" i="9"/>
  <c r="H67" i="9"/>
  <c r="I67" i="9"/>
  <c r="C68" i="9"/>
  <c r="D68" i="9"/>
  <c r="E68" i="9"/>
  <c r="F68" i="9"/>
  <c r="G68" i="9"/>
  <c r="H68" i="9"/>
  <c r="I68" i="9"/>
  <c r="C69" i="9"/>
  <c r="D69" i="9"/>
  <c r="E69" i="9"/>
  <c r="F69" i="9"/>
  <c r="G69" i="9"/>
  <c r="H69" i="9"/>
  <c r="I69" i="9"/>
  <c r="C70" i="9"/>
  <c r="D70" i="9"/>
  <c r="E70" i="9"/>
  <c r="F70" i="9"/>
  <c r="G70" i="9"/>
  <c r="H70" i="9"/>
  <c r="I70" i="9"/>
  <c r="C71" i="9"/>
  <c r="D71" i="9"/>
  <c r="E71" i="9"/>
  <c r="F71" i="9"/>
  <c r="G71" i="9"/>
  <c r="H71" i="9"/>
  <c r="I71" i="9"/>
  <c r="C72" i="9"/>
  <c r="D72" i="9"/>
  <c r="E72" i="9"/>
  <c r="F72" i="9"/>
  <c r="G72" i="9"/>
  <c r="H72" i="9"/>
  <c r="I72" i="9"/>
  <c r="C73" i="9"/>
  <c r="D73" i="9"/>
  <c r="E73" i="9"/>
  <c r="F73" i="9"/>
  <c r="G73" i="9"/>
  <c r="H73" i="9"/>
  <c r="I73" i="9"/>
  <c r="C74" i="9"/>
  <c r="D74" i="9"/>
  <c r="E74" i="9"/>
  <c r="F74" i="9"/>
  <c r="G74" i="9"/>
  <c r="H74" i="9"/>
  <c r="I74" i="9"/>
  <c r="C75" i="9"/>
  <c r="D75" i="9"/>
  <c r="E75" i="9"/>
  <c r="F75" i="9"/>
  <c r="G75" i="9"/>
  <c r="H75" i="9"/>
  <c r="I75" i="9"/>
  <c r="C76" i="9"/>
  <c r="D76" i="9"/>
  <c r="E76" i="9"/>
  <c r="F76" i="9"/>
  <c r="G76" i="9"/>
  <c r="H76" i="9"/>
  <c r="I76" i="9"/>
  <c r="C77" i="9"/>
  <c r="D77" i="9"/>
  <c r="E77" i="9"/>
  <c r="F77" i="9"/>
  <c r="G77" i="9"/>
  <c r="H77" i="9"/>
  <c r="I77" i="9"/>
  <c r="C78" i="9"/>
  <c r="D78" i="9"/>
  <c r="E78" i="9"/>
  <c r="F78" i="9"/>
  <c r="G78" i="9"/>
  <c r="H78" i="9"/>
  <c r="I78" i="9"/>
  <c r="C79" i="9"/>
  <c r="D79" i="9"/>
  <c r="E79" i="9"/>
  <c r="F79" i="9"/>
  <c r="G79" i="9"/>
  <c r="H79" i="9"/>
  <c r="I79" i="9"/>
  <c r="C80" i="9"/>
  <c r="D80" i="9"/>
  <c r="E80" i="9"/>
  <c r="F80" i="9"/>
  <c r="G80" i="9"/>
  <c r="H80" i="9"/>
  <c r="I80" i="9"/>
  <c r="C81" i="9"/>
  <c r="D81" i="9"/>
  <c r="E81" i="9"/>
  <c r="F81" i="9"/>
  <c r="G81" i="9"/>
  <c r="H81" i="9"/>
  <c r="I81" i="9"/>
  <c r="C82" i="9"/>
  <c r="D82" i="9"/>
  <c r="E82" i="9"/>
  <c r="F82" i="9"/>
  <c r="G82" i="9"/>
  <c r="H82" i="9"/>
  <c r="I82" i="9"/>
  <c r="C83" i="9"/>
  <c r="D83" i="9"/>
  <c r="E83" i="9"/>
  <c r="F83" i="9"/>
  <c r="G83" i="9"/>
  <c r="H83" i="9"/>
  <c r="I83" i="9"/>
  <c r="C84" i="9"/>
  <c r="D84" i="9"/>
  <c r="E84" i="9"/>
  <c r="F84" i="9"/>
  <c r="G84" i="9"/>
  <c r="H84" i="9"/>
  <c r="I84" i="9"/>
  <c r="C85" i="9"/>
  <c r="D85" i="9"/>
  <c r="E85" i="9"/>
  <c r="F85" i="9"/>
  <c r="G85" i="9"/>
  <c r="H85" i="9"/>
  <c r="I85" i="9"/>
  <c r="C86" i="9"/>
  <c r="D86" i="9"/>
  <c r="E86" i="9"/>
  <c r="F86" i="9"/>
  <c r="G86" i="9"/>
  <c r="H86" i="9"/>
  <c r="I86" i="9"/>
  <c r="C87" i="9"/>
  <c r="D87" i="9"/>
  <c r="E87" i="9"/>
  <c r="F87" i="9"/>
  <c r="G87" i="9"/>
  <c r="H87" i="9"/>
  <c r="I87" i="9"/>
  <c r="C88" i="9"/>
  <c r="D88" i="9"/>
  <c r="E88" i="9"/>
  <c r="F88" i="9"/>
  <c r="G88" i="9"/>
  <c r="H88" i="9"/>
  <c r="I88" i="9"/>
  <c r="C89" i="9"/>
  <c r="D89" i="9"/>
  <c r="E89" i="9"/>
  <c r="F89" i="9"/>
  <c r="G89" i="9"/>
  <c r="H89" i="9"/>
  <c r="I89" i="9"/>
  <c r="C90" i="9"/>
  <c r="D90" i="9"/>
  <c r="E90" i="9"/>
  <c r="F90" i="9"/>
  <c r="G90" i="9"/>
  <c r="H90" i="9"/>
  <c r="I90" i="9"/>
  <c r="C91" i="9"/>
  <c r="D91" i="9"/>
  <c r="E91" i="9"/>
  <c r="F91" i="9"/>
  <c r="G91" i="9"/>
  <c r="H91" i="9"/>
  <c r="I91" i="9"/>
  <c r="C92" i="9"/>
  <c r="D92" i="9"/>
  <c r="E92" i="9"/>
  <c r="F92" i="9"/>
  <c r="G92" i="9"/>
  <c r="H92" i="9"/>
  <c r="I92" i="9"/>
  <c r="C93" i="9"/>
  <c r="D93" i="9"/>
  <c r="E93" i="9"/>
  <c r="F93" i="9"/>
  <c r="G93" i="9"/>
  <c r="H93" i="9"/>
  <c r="I93" i="9"/>
  <c r="C94" i="9"/>
  <c r="D94" i="9"/>
  <c r="E94" i="9"/>
  <c r="F94" i="9"/>
  <c r="G94" i="9"/>
  <c r="H94" i="9"/>
  <c r="I94" i="9"/>
  <c r="C95" i="9"/>
  <c r="D95" i="9"/>
  <c r="E95" i="9"/>
  <c r="F95" i="9"/>
  <c r="G95" i="9"/>
  <c r="H95" i="9"/>
  <c r="I95" i="9"/>
  <c r="C96" i="9"/>
  <c r="D96" i="9"/>
  <c r="E96" i="9"/>
  <c r="F96" i="9"/>
  <c r="G96" i="9"/>
  <c r="H96" i="9"/>
  <c r="I96" i="9"/>
  <c r="C97" i="9"/>
  <c r="D97" i="9"/>
  <c r="E97" i="9"/>
  <c r="F97" i="9"/>
  <c r="G97" i="9"/>
  <c r="H97" i="9"/>
  <c r="I97" i="9"/>
  <c r="C98" i="9"/>
  <c r="D98" i="9"/>
  <c r="E98" i="9"/>
  <c r="F98" i="9"/>
  <c r="G98" i="9"/>
  <c r="H98" i="9"/>
  <c r="I98" i="9"/>
  <c r="C99" i="9"/>
  <c r="D99" i="9"/>
  <c r="E99" i="9"/>
  <c r="F99" i="9"/>
  <c r="G99" i="9"/>
  <c r="H99" i="9"/>
  <c r="I99" i="9"/>
  <c r="C100" i="9"/>
  <c r="D100" i="9"/>
  <c r="E100" i="9"/>
  <c r="F100" i="9"/>
  <c r="G100" i="9"/>
  <c r="H100" i="9"/>
  <c r="I100" i="9"/>
  <c r="C101" i="9"/>
  <c r="D101" i="9"/>
  <c r="E101" i="9"/>
  <c r="F101" i="9"/>
  <c r="G101" i="9"/>
  <c r="H101" i="9"/>
  <c r="I101" i="9"/>
  <c r="C102" i="9"/>
  <c r="D102" i="9"/>
  <c r="E102" i="9"/>
  <c r="F102" i="9"/>
  <c r="G102" i="9"/>
  <c r="H102" i="9"/>
  <c r="I102" i="9"/>
  <c r="C103" i="9"/>
  <c r="D103" i="9"/>
  <c r="E103" i="9"/>
  <c r="F103" i="9"/>
  <c r="G103" i="9"/>
  <c r="H103" i="9"/>
  <c r="I103" i="9"/>
  <c r="C104" i="9"/>
  <c r="D104" i="9"/>
  <c r="E104" i="9"/>
  <c r="F104" i="9"/>
  <c r="G104" i="9"/>
  <c r="H104" i="9"/>
  <c r="I104" i="9"/>
  <c r="C105" i="9"/>
  <c r="D105" i="9"/>
  <c r="E105" i="9"/>
  <c r="F105" i="9"/>
  <c r="G105" i="9"/>
  <c r="H105" i="9"/>
  <c r="I105" i="9"/>
  <c r="C106" i="9"/>
  <c r="D106" i="9"/>
  <c r="E106" i="9"/>
  <c r="F106" i="9"/>
  <c r="G106" i="9"/>
  <c r="H106" i="9"/>
  <c r="I106" i="9"/>
  <c r="C107" i="9"/>
  <c r="D107" i="9"/>
  <c r="E107" i="9"/>
  <c r="F107" i="9"/>
  <c r="G107" i="9"/>
  <c r="H107" i="9"/>
  <c r="I107" i="9"/>
  <c r="C108" i="9"/>
  <c r="D108" i="9"/>
  <c r="E108" i="9"/>
  <c r="F108" i="9"/>
  <c r="G108" i="9"/>
  <c r="H108" i="9"/>
  <c r="I108" i="9"/>
  <c r="C109" i="9"/>
  <c r="D109" i="9"/>
  <c r="E109" i="9"/>
  <c r="F109" i="9"/>
  <c r="G109" i="9"/>
  <c r="H109" i="9"/>
  <c r="I109" i="9"/>
  <c r="C110" i="9"/>
  <c r="D110" i="9"/>
  <c r="E110" i="9"/>
  <c r="F110" i="9"/>
  <c r="G110" i="9"/>
  <c r="H110" i="9"/>
  <c r="I110" i="9"/>
  <c r="C111" i="9"/>
  <c r="D111" i="9"/>
  <c r="E111" i="9"/>
  <c r="F111" i="9"/>
  <c r="G111" i="9"/>
  <c r="H111" i="9"/>
  <c r="I111" i="9"/>
  <c r="C112" i="9"/>
  <c r="D112" i="9"/>
  <c r="E112" i="9"/>
  <c r="F112" i="9"/>
  <c r="G112" i="9"/>
  <c r="H112" i="9"/>
  <c r="I112" i="9"/>
  <c r="C113" i="9"/>
  <c r="D113" i="9"/>
  <c r="E113" i="9"/>
  <c r="F113" i="9"/>
  <c r="G113" i="9"/>
  <c r="H113" i="9"/>
  <c r="I113" i="9"/>
  <c r="C114" i="9"/>
  <c r="D114" i="9"/>
  <c r="E114" i="9"/>
  <c r="F114" i="9"/>
  <c r="G114" i="9"/>
  <c r="H114" i="9"/>
  <c r="I114" i="9"/>
  <c r="C115" i="9"/>
  <c r="D115" i="9"/>
  <c r="E115" i="9"/>
  <c r="F115" i="9"/>
  <c r="G115" i="9"/>
  <c r="H115" i="9"/>
  <c r="I115" i="9"/>
  <c r="C116" i="9"/>
  <c r="D116" i="9"/>
  <c r="E116" i="9"/>
  <c r="F116" i="9"/>
  <c r="G116" i="9"/>
  <c r="H116" i="9"/>
  <c r="I116" i="9"/>
  <c r="C117" i="9"/>
  <c r="D117" i="9"/>
  <c r="E117" i="9"/>
  <c r="F117" i="9"/>
  <c r="G117" i="9"/>
  <c r="H117" i="9"/>
  <c r="I117" i="9"/>
  <c r="C118" i="9"/>
  <c r="D118" i="9"/>
  <c r="E118" i="9"/>
  <c r="F118" i="9"/>
  <c r="G118" i="9"/>
  <c r="H118" i="9"/>
  <c r="I118" i="9"/>
  <c r="C119" i="9"/>
  <c r="D119" i="9"/>
  <c r="E119" i="9"/>
  <c r="F119" i="9"/>
  <c r="G119" i="9"/>
  <c r="H119" i="9"/>
  <c r="I119" i="9"/>
  <c r="C120" i="9"/>
  <c r="D120" i="9"/>
  <c r="E120" i="9"/>
  <c r="F120" i="9"/>
  <c r="G120" i="9"/>
  <c r="H120" i="9"/>
  <c r="I120" i="9"/>
  <c r="C121" i="9"/>
  <c r="D121" i="9"/>
  <c r="E121" i="9"/>
  <c r="F121" i="9"/>
  <c r="G121" i="9"/>
  <c r="H121" i="9"/>
  <c r="I121" i="9"/>
  <c r="D46" i="9"/>
  <c r="E46" i="9"/>
  <c r="F46" i="9"/>
  <c r="G46" i="9"/>
  <c r="H46" i="9"/>
  <c r="I46" i="9"/>
  <c r="C46" i="9"/>
  <c r="M12" i="1"/>
  <c r="E1" i="1" l="1"/>
  <c r="K1" i="1"/>
  <c r="J1" i="1"/>
  <c r="I1" i="1"/>
  <c r="H1" i="1"/>
  <c r="G1" i="1"/>
  <c r="F1" i="1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L123" i="16"/>
  <c r="D13" i="10"/>
  <c r="D12" i="10"/>
  <c r="D11" i="10"/>
  <c r="D10" i="10"/>
  <c r="D9" i="10"/>
  <c r="D8" i="10"/>
  <c r="D7" i="10"/>
  <c r="D6" i="10"/>
  <c r="D5" i="10"/>
  <c r="D4" i="10"/>
  <c r="D3" i="10"/>
  <c r="D2" i="10"/>
  <c r="H13" i="10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25" i="7"/>
  <c r="E25" i="7" s="1"/>
  <c r="E24" i="7"/>
  <c r="C24" i="7"/>
  <c r="C23" i="7"/>
  <c r="E23" i="7" s="1"/>
  <c r="E22" i="7"/>
  <c r="C22" i="7"/>
  <c r="C21" i="7"/>
  <c r="E21" i="7" s="1"/>
  <c r="E20" i="7"/>
  <c r="C20" i="7"/>
  <c r="C19" i="7"/>
  <c r="E19" i="7" s="1"/>
  <c r="E18" i="7"/>
  <c r="C18" i="7"/>
  <c r="C17" i="7"/>
  <c r="E17" i="7" s="1"/>
  <c r="E16" i="7"/>
  <c r="C16" i="7"/>
  <c r="C15" i="7"/>
  <c r="E15" i="7" s="1"/>
  <c r="E14" i="7"/>
  <c r="C14" i="7"/>
  <c r="C25" i="6"/>
  <c r="E25" i="6" s="1"/>
  <c r="E24" i="6"/>
  <c r="C24" i="6"/>
  <c r="C23" i="6"/>
  <c r="E23" i="6" s="1"/>
  <c r="E22" i="6"/>
  <c r="C22" i="6"/>
  <c r="C21" i="6"/>
  <c r="E21" i="6" s="1"/>
  <c r="E20" i="6"/>
  <c r="C20" i="6"/>
  <c r="C19" i="6"/>
  <c r="E19" i="6" s="1"/>
  <c r="E18" i="6"/>
  <c r="C18" i="6"/>
  <c r="C17" i="6"/>
  <c r="E17" i="6" s="1"/>
  <c r="E16" i="6"/>
  <c r="C16" i="6"/>
  <c r="C15" i="6"/>
  <c r="E15" i="6" s="1"/>
  <c r="E14" i="6"/>
  <c r="C14" i="6"/>
  <c r="E25" i="5"/>
  <c r="C25" i="5"/>
  <c r="C24" i="5"/>
  <c r="E24" i="5" s="1"/>
  <c r="E23" i="5"/>
  <c r="C23" i="5"/>
  <c r="C22" i="5"/>
  <c r="E22" i="5" s="1"/>
  <c r="E21" i="5"/>
  <c r="C21" i="5"/>
  <c r="C20" i="5"/>
  <c r="E20" i="5" s="1"/>
  <c r="E19" i="5"/>
  <c r="C19" i="5"/>
  <c r="C18" i="5"/>
  <c r="E18" i="5" s="1"/>
  <c r="E17" i="5"/>
  <c r="C17" i="5"/>
  <c r="C16" i="5"/>
  <c r="E16" i="5" s="1"/>
  <c r="E15" i="5"/>
  <c r="C15" i="5"/>
  <c r="C14" i="5"/>
  <c r="E14" i="5" s="1"/>
  <c r="C25" i="4"/>
  <c r="E25" i="4" s="1"/>
  <c r="E24" i="4"/>
  <c r="C24" i="4"/>
  <c r="C23" i="4"/>
  <c r="E23" i="4" s="1"/>
  <c r="E22" i="4"/>
  <c r="C22" i="4"/>
  <c r="C21" i="4"/>
  <c r="E21" i="4" s="1"/>
  <c r="E20" i="4"/>
  <c r="C20" i="4"/>
  <c r="C19" i="4"/>
  <c r="E19" i="4" s="1"/>
  <c r="E18" i="4"/>
  <c r="C18" i="4"/>
  <c r="C17" i="4"/>
  <c r="E17" i="4" s="1"/>
  <c r="E16" i="4"/>
  <c r="C16" i="4"/>
  <c r="C15" i="4"/>
  <c r="E15" i="4" s="1"/>
  <c r="E14" i="4"/>
  <c r="C14" i="4"/>
  <c r="C25" i="3"/>
  <c r="C24" i="3"/>
  <c r="C23" i="3"/>
  <c r="C22" i="3"/>
  <c r="E22" i="3" s="1"/>
  <c r="C21" i="3"/>
  <c r="E21" i="3" s="1"/>
  <c r="C20" i="3"/>
  <c r="C19" i="3"/>
  <c r="E19" i="3" s="1"/>
  <c r="C18" i="3"/>
  <c r="E18" i="3" s="1"/>
  <c r="C17" i="3"/>
  <c r="C16" i="3"/>
  <c r="C15" i="3"/>
  <c r="E23" i="3"/>
  <c r="E15" i="3"/>
  <c r="E24" i="3"/>
  <c r="E20" i="3"/>
  <c r="E16" i="3"/>
  <c r="J123" i="16"/>
  <c r="H25" i="10"/>
  <c r="H2" i="8"/>
  <c r="H4" i="8" s="1"/>
  <c r="H6" i="8" s="1"/>
  <c r="H25" i="8"/>
  <c r="D13" i="8"/>
  <c r="D12" i="8"/>
  <c r="D11" i="8"/>
  <c r="D10" i="8"/>
  <c r="D9" i="8"/>
  <c r="D8" i="8"/>
  <c r="D7" i="8"/>
  <c r="D6" i="8"/>
  <c r="D5" i="8"/>
  <c r="D4" i="8"/>
  <c r="D3" i="8"/>
  <c r="I2" i="8"/>
  <c r="I4" i="8" s="1"/>
  <c r="I6" i="8" s="1"/>
  <c r="D2" i="8"/>
  <c r="H13" i="8" s="1"/>
  <c r="H2" i="7"/>
  <c r="H4" i="7" s="1"/>
  <c r="H6" i="7" s="1"/>
  <c r="H25" i="7"/>
  <c r="D13" i="7"/>
  <c r="D12" i="7"/>
  <c r="D11" i="7"/>
  <c r="D10" i="7"/>
  <c r="D9" i="7"/>
  <c r="D8" i="7"/>
  <c r="D7" i="7"/>
  <c r="D6" i="7"/>
  <c r="D5" i="7"/>
  <c r="D4" i="7"/>
  <c r="D3" i="7"/>
  <c r="D2" i="7"/>
  <c r="H13" i="7" s="1"/>
  <c r="H2" i="6"/>
  <c r="H25" i="6"/>
  <c r="D13" i="6"/>
  <c r="D12" i="6"/>
  <c r="D11" i="6"/>
  <c r="D10" i="6"/>
  <c r="D9" i="6"/>
  <c r="H13" i="6" s="1"/>
  <c r="D8" i="6"/>
  <c r="D7" i="6"/>
  <c r="D6" i="6"/>
  <c r="D5" i="6"/>
  <c r="D4" i="6"/>
  <c r="D3" i="6"/>
  <c r="I2" i="6"/>
  <c r="I4" i="6" s="1"/>
  <c r="I6" i="6" s="1"/>
  <c r="H4" i="6"/>
  <c r="H6" i="6" s="1"/>
  <c r="D2" i="6"/>
  <c r="H2" i="5"/>
  <c r="H25" i="5"/>
  <c r="D13" i="5"/>
  <c r="D12" i="5"/>
  <c r="D11" i="5"/>
  <c r="D10" i="5"/>
  <c r="D9" i="5"/>
  <c r="H13" i="5" s="1"/>
  <c r="D8" i="5"/>
  <c r="D7" i="5"/>
  <c r="D6" i="5"/>
  <c r="D5" i="5"/>
  <c r="D4" i="5"/>
  <c r="D3" i="5"/>
  <c r="H4" i="5"/>
  <c r="H6" i="5" s="1"/>
  <c r="D2" i="5"/>
  <c r="H2" i="4"/>
  <c r="H25" i="4"/>
  <c r="D13" i="4"/>
  <c r="D12" i="4"/>
  <c r="D11" i="4"/>
  <c r="D10" i="4"/>
  <c r="D9" i="4"/>
  <c r="D8" i="4"/>
  <c r="D7" i="4"/>
  <c r="D6" i="4"/>
  <c r="D5" i="4"/>
  <c r="D4" i="4"/>
  <c r="D3" i="4"/>
  <c r="I2" i="4"/>
  <c r="I4" i="4" s="1"/>
  <c r="I6" i="4" s="1"/>
  <c r="D2" i="4"/>
  <c r="H13" i="4" s="1"/>
  <c r="H25" i="3"/>
  <c r="I13" i="3"/>
  <c r="H13" i="3"/>
  <c r="G13" i="3"/>
  <c r="E25" i="3"/>
  <c r="E17" i="3"/>
  <c r="D13" i="3"/>
  <c r="D12" i="3"/>
  <c r="D11" i="3"/>
  <c r="D10" i="3"/>
  <c r="D9" i="3"/>
  <c r="D8" i="3"/>
  <c r="D7" i="3"/>
  <c r="D6" i="3"/>
  <c r="D5" i="3"/>
  <c r="D4" i="3"/>
  <c r="D3" i="3"/>
  <c r="D2" i="3"/>
  <c r="C13" i="3"/>
  <c r="C12" i="3"/>
  <c r="C11" i="3"/>
  <c r="C10" i="3"/>
  <c r="C9" i="3"/>
  <c r="C8" i="3"/>
  <c r="C7" i="3"/>
  <c r="C6" i="3"/>
  <c r="C5" i="3"/>
  <c r="C4" i="3"/>
  <c r="C3" i="3"/>
  <c r="H6" i="3"/>
  <c r="I4" i="3"/>
  <c r="H4" i="3"/>
  <c r="H2" i="3"/>
  <c r="G25" i="3" l="1"/>
  <c r="C13" i="8"/>
  <c r="E13" i="8" s="1"/>
  <c r="C9" i="8"/>
  <c r="E9" i="8" s="1"/>
  <c r="C11" i="8"/>
  <c r="E11" i="8" s="1"/>
  <c r="C7" i="8"/>
  <c r="E7" i="8" s="1"/>
  <c r="C5" i="8"/>
  <c r="E5" i="8" s="1"/>
  <c r="C3" i="8"/>
  <c r="E3" i="8" s="1"/>
  <c r="C12" i="8"/>
  <c r="E12" i="8" s="1"/>
  <c r="C8" i="8"/>
  <c r="E8" i="8" s="1"/>
  <c r="C6" i="8"/>
  <c r="E6" i="8" s="1"/>
  <c r="C4" i="8"/>
  <c r="E4" i="8" s="1"/>
  <c r="C10" i="8"/>
  <c r="E10" i="8" s="1"/>
  <c r="C2" i="8"/>
  <c r="I2" i="7"/>
  <c r="I4" i="7" s="1"/>
  <c r="I6" i="7" s="1"/>
  <c r="C13" i="7" s="1"/>
  <c r="E13" i="7" s="1"/>
  <c r="C10" i="7"/>
  <c r="E10" i="7" s="1"/>
  <c r="C3" i="7"/>
  <c r="E3" i="7" s="1"/>
  <c r="C2" i="7"/>
  <c r="C13" i="6"/>
  <c r="E13" i="6" s="1"/>
  <c r="C9" i="6"/>
  <c r="E9" i="6" s="1"/>
  <c r="C10" i="6"/>
  <c r="E10" i="6" s="1"/>
  <c r="C11" i="6"/>
  <c r="E11" i="6" s="1"/>
  <c r="C7" i="6"/>
  <c r="E7" i="6" s="1"/>
  <c r="C5" i="6"/>
  <c r="E5" i="6" s="1"/>
  <c r="C3" i="6"/>
  <c r="E3" i="6" s="1"/>
  <c r="C12" i="6"/>
  <c r="E12" i="6" s="1"/>
  <c r="C8" i="6"/>
  <c r="E8" i="6" s="1"/>
  <c r="C6" i="6"/>
  <c r="E6" i="6" s="1"/>
  <c r="C4" i="6"/>
  <c r="E4" i="6" s="1"/>
  <c r="C2" i="6"/>
  <c r="I2" i="5"/>
  <c r="I4" i="5" s="1"/>
  <c r="I6" i="5" s="1"/>
  <c r="C9" i="4"/>
  <c r="E9" i="4" s="1"/>
  <c r="C10" i="4"/>
  <c r="E10" i="4" s="1"/>
  <c r="C11" i="4"/>
  <c r="E11" i="4" s="1"/>
  <c r="C12" i="4"/>
  <c r="E12" i="4" s="1"/>
  <c r="C8" i="4"/>
  <c r="E8" i="4" s="1"/>
  <c r="C6" i="4"/>
  <c r="E6" i="4" s="1"/>
  <c r="C4" i="4"/>
  <c r="E4" i="4" s="1"/>
  <c r="C2" i="4"/>
  <c r="C13" i="4"/>
  <c r="E13" i="4" s="1"/>
  <c r="C7" i="4"/>
  <c r="E7" i="4" s="1"/>
  <c r="C5" i="4"/>
  <c r="E5" i="4" s="1"/>
  <c r="C3" i="4"/>
  <c r="E3" i="4" s="1"/>
  <c r="H4" i="4"/>
  <c r="H6" i="4" s="1"/>
  <c r="J124" i="16"/>
  <c r="L124" i="16"/>
  <c r="L125" i="16"/>
  <c r="L126" i="16"/>
  <c r="L127" i="16"/>
  <c r="L128" i="16"/>
  <c r="L129" i="16"/>
  <c r="J127" i="16"/>
  <c r="J126" i="16" s="1"/>
  <c r="J125" i="16" s="1"/>
  <c r="J128" i="16"/>
  <c r="L20" i="1"/>
  <c r="I20" i="1"/>
  <c r="H20" i="1"/>
  <c r="F20" i="1"/>
  <c r="G20" i="1"/>
  <c r="E20" i="1"/>
  <c r="E19" i="1"/>
  <c r="G13" i="8" l="1"/>
  <c r="E2" i="8"/>
  <c r="I13" i="8" s="1"/>
  <c r="I25" i="8"/>
  <c r="G25" i="8"/>
  <c r="C6" i="7"/>
  <c r="E6" i="7" s="1"/>
  <c r="C5" i="7"/>
  <c r="E5" i="7" s="1"/>
  <c r="C4" i="7"/>
  <c r="E4" i="7" s="1"/>
  <c r="C8" i="7"/>
  <c r="E8" i="7" s="1"/>
  <c r="C7" i="7"/>
  <c r="E7" i="7" s="1"/>
  <c r="C9" i="7"/>
  <c r="E9" i="7" s="1"/>
  <c r="C12" i="7"/>
  <c r="E12" i="7" s="1"/>
  <c r="C11" i="7"/>
  <c r="E11" i="7" s="1"/>
  <c r="I25" i="7"/>
  <c r="G25" i="7"/>
  <c r="E2" i="7"/>
  <c r="I25" i="6"/>
  <c r="G25" i="6"/>
  <c r="G13" i="6"/>
  <c r="E2" i="6"/>
  <c r="I13" i="6" s="1"/>
  <c r="C13" i="5"/>
  <c r="E13" i="5" s="1"/>
  <c r="C9" i="5"/>
  <c r="E9" i="5" s="1"/>
  <c r="C10" i="5"/>
  <c r="E10" i="5" s="1"/>
  <c r="C11" i="5"/>
  <c r="E11" i="5" s="1"/>
  <c r="C7" i="5"/>
  <c r="E7" i="5" s="1"/>
  <c r="C5" i="5"/>
  <c r="E5" i="5" s="1"/>
  <c r="C3" i="5"/>
  <c r="E3" i="5" s="1"/>
  <c r="C12" i="5"/>
  <c r="E12" i="5" s="1"/>
  <c r="C8" i="5"/>
  <c r="E8" i="5" s="1"/>
  <c r="C6" i="5"/>
  <c r="E6" i="5" s="1"/>
  <c r="C4" i="5"/>
  <c r="E4" i="5" s="1"/>
  <c r="C2" i="5"/>
  <c r="I25" i="5"/>
  <c r="G25" i="5"/>
  <c r="E2" i="4"/>
  <c r="I13" i="4" s="1"/>
  <c r="G13" i="4"/>
  <c r="P35" i="1"/>
  <c r="P25" i="1"/>
  <c r="H5" i="1"/>
  <c r="I13" i="7" l="1"/>
  <c r="G13" i="7"/>
  <c r="G13" i="5"/>
  <c r="E2" i="5"/>
  <c r="I13" i="5" s="1"/>
  <c r="I25" i="4"/>
  <c r="G25" i="4"/>
  <c r="E12" i="1"/>
  <c r="J17" i="1" l="1"/>
  <c r="L17" i="1" s="1"/>
  <c r="I16" i="1"/>
  <c r="L16" i="1" s="1"/>
  <c r="G14" i="1"/>
  <c r="L14" i="1" s="1"/>
  <c r="F13" i="1"/>
  <c r="L13" i="1" s="1"/>
  <c r="P12" i="1"/>
  <c r="Q12" i="1" s="1"/>
  <c r="Q14" i="1" s="1"/>
  <c r="D11" i="1"/>
  <c r="B9" i="1"/>
  <c r="K18" i="1" l="1"/>
  <c r="L18" i="1" s="1"/>
  <c r="H15" i="1"/>
  <c r="L15" i="1" s="1"/>
  <c r="L19" i="1" s="1"/>
  <c r="F55" i="1" l="1"/>
  <c r="L9" i="1" l="1"/>
  <c r="J27" i="1"/>
  <c r="I26" i="1"/>
  <c r="H25" i="1"/>
  <c r="G24" i="1"/>
  <c r="F23" i="1"/>
  <c r="F24" i="15" l="1"/>
  <c r="H55" i="1"/>
  <c r="A31" i="18" l="1"/>
  <c r="A43" i="18" s="1"/>
  <c r="A55" i="18" s="1"/>
  <c r="A67" i="18" s="1"/>
  <c r="A79" i="18" s="1"/>
  <c r="A91" i="18" s="1"/>
  <c r="A103" i="18" s="1"/>
  <c r="A115" i="18" s="1"/>
  <c r="A25" i="18"/>
  <c r="A37" i="18" s="1"/>
  <c r="A49" i="18" s="1"/>
  <c r="A61" i="18" s="1"/>
  <c r="A73" i="18" s="1"/>
  <c r="A85" i="18" s="1"/>
  <c r="A97" i="18" s="1"/>
  <c r="A109" i="18" s="1"/>
  <c r="A121" i="18" s="1"/>
  <c r="A24" i="18"/>
  <c r="A36" i="18" s="1"/>
  <c r="A48" i="18" s="1"/>
  <c r="A60" i="18" s="1"/>
  <c r="A72" i="18" s="1"/>
  <c r="A84" i="18" s="1"/>
  <c r="A96" i="18" s="1"/>
  <c r="A108" i="18" s="1"/>
  <c r="A120" i="18" s="1"/>
  <c r="A23" i="18"/>
  <c r="A35" i="18" s="1"/>
  <c r="A47" i="18" s="1"/>
  <c r="A59" i="18" s="1"/>
  <c r="A71" i="18" s="1"/>
  <c r="A83" i="18" s="1"/>
  <c r="A95" i="18" s="1"/>
  <c r="A107" i="18" s="1"/>
  <c r="A119" i="18" s="1"/>
  <c r="A22" i="18"/>
  <c r="A34" i="18" s="1"/>
  <c r="A46" i="18" s="1"/>
  <c r="A58" i="18" s="1"/>
  <c r="A70" i="18" s="1"/>
  <c r="A82" i="18" s="1"/>
  <c r="A94" i="18" s="1"/>
  <c r="A106" i="18" s="1"/>
  <c r="A118" i="18" s="1"/>
  <c r="A21" i="18"/>
  <c r="A33" i="18" s="1"/>
  <c r="A45" i="18" s="1"/>
  <c r="A57" i="18" s="1"/>
  <c r="A69" i="18" s="1"/>
  <c r="A81" i="18" s="1"/>
  <c r="A93" i="18" s="1"/>
  <c r="A105" i="18" s="1"/>
  <c r="A117" i="18" s="1"/>
  <c r="A20" i="18"/>
  <c r="A32" i="18" s="1"/>
  <c r="A44" i="18" s="1"/>
  <c r="A56" i="18" s="1"/>
  <c r="A68" i="18" s="1"/>
  <c r="A80" i="18" s="1"/>
  <c r="A92" i="18" s="1"/>
  <c r="A104" i="18" s="1"/>
  <c r="A116" i="18" s="1"/>
  <c r="A19" i="18"/>
  <c r="A18" i="18"/>
  <c r="A30" i="18" s="1"/>
  <c r="A42" i="18" s="1"/>
  <c r="A54" i="18" s="1"/>
  <c r="A66" i="18" s="1"/>
  <c r="A78" i="18" s="1"/>
  <c r="A90" i="18" s="1"/>
  <c r="A102" i="18" s="1"/>
  <c r="A114" i="18" s="1"/>
  <c r="A17" i="18"/>
  <c r="A29" i="18" s="1"/>
  <c r="A41" i="18" s="1"/>
  <c r="A53" i="18" s="1"/>
  <c r="A65" i="18" s="1"/>
  <c r="A77" i="18" s="1"/>
  <c r="A89" i="18" s="1"/>
  <c r="A101" i="18" s="1"/>
  <c r="A113" i="18" s="1"/>
  <c r="A16" i="18"/>
  <c r="A28" i="18" s="1"/>
  <c r="A40" i="18" s="1"/>
  <c r="A52" i="18" s="1"/>
  <c r="A64" i="18" s="1"/>
  <c r="A76" i="18" s="1"/>
  <c r="A88" i="18" s="1"/>
  <c r="A100" i="18" s="1"/>
  <c r="A112" i="18" s="1"/>
  <c r="A15" i="18"/>
  <c r="A27" i="18" s="1"/>
  <c r="A39" i="18" s="1"/>
  <c r="A51" i="18" s="1"/>
  <c r="A63" i="18" s="1"/>
  <c r="A75" i="18" s="1"/>
  <c r="A87" i="18" s="1"/>
  <c r="A99" i="18" s="1"/>
  <c r="A111" i="18" s="1"/>
  <c r="B14" i="18"/>
  <c r="B26" i="18" s="1"/>
  <c r="B38" i="18" s="1"/>
  <c r="B50" i="18" s="1"/>
  <c r="B62" i="18" s="1"/>
  <c r="B74" i="18" s="1"/>
  <c r="B86" i="18" s="1"/>
  <c r="B98" i="18" s="1"/>
  <c r="B110" i="18" s="1"/>
  <c r="A14" i="18"/>
  <c r="A26" i="18" s="1"/>
  <c r="A38" i="18" s="1"/>
  <c r="A50" i="18" s="1"/>
  <c r="A62" i="18" s="1"/>
  <c r="A74" i="18" s="1"/>
  <c r="A86" i="18" s="1"/>
  <c r="A98" i="18" s="1"/>
  <c r="A110" i="18" s="1"/>
  <c r="B3" i="18"/>
  <c r="B15" i="18" s="1"/>
  <c r="B27" i="18" s="1"/>
  <c r="B39" i="18" s="1"/>
  <c r="B51" i="18" s="1"/>
  <c r="B63" i="18" s="1"/>
  <c r="B75" i="18" s="1"/>
  <c r="B87" i="18" s="1"/>
  <c r="B99" i="18" s="1"/>
  <c r="B111" i="18" s="1"/>
  <c r="B4" i="18" l="1"/>
  <c r="B16" i="18" s="1"/>
  <c r="B28" i="18" s="1"/>
  <c r="B40" i="18" s="1"/>
  <c r="B52" i="18" s="1"/>
  <c r="B64" i="18" s="1"/>
  <c r="B76" i="18" s="1"/>
  <c r="B88" i="18" s="1"/>
  <c r="B100" i="18" s="1"/>
  <c r="B112" i="18" s="1"/>
  <c r="B5" i="18"/>
  <c r="B6" i="18" l="1"/>
  <c r="B17" i="18"/>
  <c r="B29" i="18" s="1"/>
  <c r="B41" i="18" s="1"/>
  <c r="B53" i="18" s="1"/>
  <c r="B65" i="18" s="1"/>
  <c r="B77" i="18" s="1"/>
  <c r="B89" i="18" s="1"/>
  <c r="B101" i="18" s="1"/>
  <c r="B113" i="18" s="1"/>
  <c r="M14" i="1"/>
  <c r="M15" i="1" s="1"/>
  <c r="M16" i="1" s="1"/>
  <c r="M17" i="1" s="1"/>
  <c r="M18" i="1" s="1"/>
  <c r="B18" i="18" l="1"/>
  <c r="B30" i="18" s="1"/>
  <c r="B42" i="18" s="1"/>
  <c r="B54" i="18" s="1"/>
  <c r="B66" i="18" s="1"/>
  <c r="B78" i="18" s="1"/>
  <c r="B90" i="18" s="1"/>
  <c r="B102" i="18" s="1"/>
  <c r="B114" i="18" s="1"/>
  <c r="B7" i="18"/>
  <c r="D13" i="12"/>
  <c r="B19" i="18" l="1"/>
  <c r="B31" i="18" s="1"/>
  <c r="B43" i="18" s="1"/>
  <c r="B55" i="18" s="1"/>
  <c r="B67" i="18" s="1"/>
  <c r="B79" i="18" s="1"/>
  <c r="B91" i="18" s="1"/>
  <c r="B103" i="18" s="1"/>
  <c r="B115" i="18" s="1"/>
  <c r="B8" i="18"/>
  <c r="D17" i="2"/>
  <c r="E17" i="2"/>
  <c r="O59" i="17"/>
  <c r="N59" i="17"/>
  <c r="L59" i="17"/>
  <c r="K59" i="17"/>
  <c r="H59" i="17"/>
  <c r="G59" i="17"/>
  <c r="E59" i="17"/>
  <c r="D59" i="17"/>
  <c r="O55" i="17"/>
  <c r="N55" i="17"/>
  <c r="L55" i="17"/>
  <c r="K55" i="17"/>
  <c r="H55" i="17"/>
  <c r="G55" i="17"/>
  <c r="E55" i="17"/>
  <c r="D55" i="17"/>
  <c r="O54" i="17"/>
  <c r="N54" i="17"/>
  <c r="L54" i="17"/>
  <c r="K54" i="17"/>
  <c r="H54" i="17"/>
  <c r="G54" i="17"/>
  <c r="E54" i="17"/>
  <c r="D54" i="17"/>
  <c r="O44" i="17"/>
  <c r="N44" i="17"/>
  <c r="L44" i="17"/>
  <c r="K44" i="17"/>
  <c r="H44" i="17"/>
  <c r="G44" i="17"/>
  <c r="E44" i="17"/>
  <c r="D44" i="17"/>
  <c r="O39" i="17"/>
  <c r="N39" i="17"/>
  <c r="L39" i="17"/>
  <c r="K39" i="17"/>
  <c r="H39" i="17"/>
  <c r="G39" i="17"/>
  <c r="E39" i="17"/>
  <c r="D39" i="17"/>
  <c r="O35" i="17"/>
  <c r="N35" i="17"/>
  <c r="L35" i="17"/>
  <c r="K35" i="17"/>
  <c r="H35" i="17"/>
  <c r="G35" i="17"/>
  <c r="E35" i="17"/>
  <c r="D35" i="17"/>
  <c r="O23" i="17"/>
  <c r="N23" i="17"/>
  <c r="L23" i="17"/>
  <c r="K23" i="17"/>
  <c r="H23" i="17"/>
  <c r="G23" i="17"/>
  <c r="E23" i="17"/>
  <c r="D23" i="17"/>
  <c r="O13" i="17"/>
  <c r="O58" i="17" s="1"/>
  <c r="O61" i="17" s="1"/>
  <c r="N13" i="17"/>
  <c r="N58" i="17" s="1"/>
  <c r="N61" i="17" s="1"/>
  <c r="L13" i="17"/>
  <c r="L58" i="17" s="1"/>
  <c r="L61" i="17" s="1"/>
  <c r="K13" i="17"/>
  <c r="K58" i="17" s="1"/>
  <c r="K61" i="17" s="1"/>
  <c r="H13" i="17"/>
  <c r="H58" i="17" s="1"/>
  <c r="G13" i="17"/>
  <c r="G58" i="17" s="1"/>
  <c r="E13" i="17"/>
  <c r="E58" i="17" s="1"/>
  <c r="D13" i="17"/>
  <c r="D58" i="17" s="1"/>
  <c r="B9" i="18" l="1"/>
  <c r="B20" i="18"/>
  <c r="B32" i="18" s="1"/>
  <c r="B44" i="18" s="1"/>
  <c r="B56" i="18" s="1"/>
  <c r="B68" i="18" s="1"/>
  <c r="B80" i="18" s="1"/>
  <c r="B92" i="18" s="1"/>
  <c r="B104" i="18" s="1"/>
  <c r="B116" i="18" s="1"/>
  <c r="A25" i="16"/>
  <c r="A37" i="16" s="1"/>
  <c r="A49" i="16" s="1"/>
  <c r="A61" i="16" s="1"/>
  <c r="A73" i="16" s="1"/>
  <c r="A85" i="16" s="1"/>
  <c r="A97" i="16" s="1"/>
  <c r="A109" i="16" s="1"/>
  <c r="A121" i="16" s="1"/>
  <c r="A24" i="16"/>
  <c r="A36" i="16" s="1"/>
  <c r="A48" i="16" s="1"/>
  <c r="A60" i="16" s="1"/>
  <c r="A72" i="16" s="1"/>
  <c r="A84" i="16" s="1"/>
  <c r="A96" i="16" s="1"/>
  <c r="A108" i="16" s="1"/>
  <c r="A120" i="16" s="1"/>
  <c r="A23" i="16"/>
  <c r="A35" i="16" s="1"/>
  <c r="A47" i="16" s="1"/>
  <c r="A59" i="16" s="1"/>
  <c r="A71" i="16" s="1"/>
  <c r="A83" i="16" s="1"/>
  <c r="A95" i="16" s="1"/>
  <c r="A107" i="16" s="1"/>
  <c r="A119" i="16" s="1"/>
  <c r="A22" i="16"/>
  <c r="A34" i="16" s="1"/>
  <c r="A46" i="16" s="1"/>
  <c r="A58" i="16" s="1"/>
  <c r="A70" i="16" s="1"/>
  <c r="A82" i="16" s="1"/>
  <c r="A94" i="16" s="1"/>
  <c r="A106" i="16" s="1"/>
  <c r="A118" i="16" s="1"/>
  <c r="A21" i="16"/>
  <c r="A33" i="16" s="1"/>
  <c r="A45" i="16" s="1"/>
  <c r="A57" i="16" s="1"/>
  <c r="A69" i="16" s="1"/>
  <c r="A81" i="16" s="1"/>
  <c r="A93" i="16" s="1"/>
  <c r="A105" i="16" s="1"/>
  <c r="A117" i="16" s="1"/>
  <c r="A20" i="16"/>
  <c r="A32" i="16" s="1"/>
  <c r="A44" i="16" s="1"/>
  <c r="A56" i="16" s="1"/>
  <c r="A68" i="16" s="1"/>
  <c r="A80" i="16" s="1"/>
  <c r="A92" i="16" s="1"/>
  <c r="A104" i="16" s="1"/>
  <c r="A116" i="16" s="1"/>
  <c r="A19" i="16"/>
  <c r="A31" i="16" s="1"/>
  <c r="A43" i="16" s="1"/>
  <c r="A55" i="16" s="1"/>
  <c r="A67" i="16" s="1"/>
  <c r="A79" i="16" s="1"/>
  <c r="A91" i="16" s="1"/>
  <c r="A103" i="16" s="1"/>
  <c r="A115" i="16" s="1"/>
  <c r="A18" i="16"/>
  <c r="A30" i="16" s="1"/>
  <c r="A42" i="16" s="1"/>
  <c r="A54" i="16" s="1"/>
  <c r="A66" i="16" s="1"/>
  <c r="A78" i="16" s="1"/>
  <c r="A90" i="16" s="1"/>
  <c r="A102" i="16" s="1"/>
  <c r="A114" i="16" s="1"/>
  <c r="A17" i="16"/>
  <c r="A29" i="16" s="1"/>
  <c r="A41" i="16" s="1"/>
  <c r="A53" i="16" s="1"/>
  <c r="A65" i="16" s="1"/>
  <c r="A77" i="16" s="1"/>
  <c r="A89" i="16" s="1"/>
  <c r="A101" i="16" s="1"/>
  <c r="A113" i="16" s="1"/>
  <c r="A16" i="16"/>
  <c r="A28" i="16" s="1"/>
  <c r="A40" i="16" s="1"/>
  <c r="A52" i="16" s="1"/>
  <c r="A64" i="16" s="1"/>
  <c r="A76" i="16" s="1"/>
  <c r="A88" i="16" s="1"/>
  <c r="A100" i="16" s="1"/>
  <c r="A112" i="16" s="1"/>
  <c r="A15" i="16"/>
  <c r="A27" i="16" s="1"/>
  <c r="A39" i="16" s="1"/>
  <c r="A51" i="16" s="1"/>
  <c r="A63" i="16" s="1"/>
  <c r="A75" i="16" s="1"/>
  <c r="A87" i="16" s="1"/>
  <c r="A99" i="16" s="1"/>
  <c r="A111" i="16" s="1"/>
  <c r="B14" i="16"/>
  <c r="B26" i="16" s="1"/>
  <c r="B38" i="16" s="1"/>
  <c r="B50" i="16" s="1"/>
  <c r="B62" i="16" s="1"/>
  <c r="B74" i="16" s="1"/>
  <c r="B86" i="16" s="1"/>
  <c r="B98" i="16" s="1"/>
  <c r="B110" i="16" s="1"/>
  <c r="A14" i="16"/>
  <c r="A26" i="16" s="1"/>
  <c r="A38" i="16" s="1"/>
  <c r="A50" i="16" s="1"/>
  <c r="A62" i="16" s="1"/>
  <c r="A74" i="16" s="1"/>
  <c r="A86" i="16" s="1"/>
  <c r="A98" i="16" s="1"/>
  <c r="A110" i="16" s="1"/>
  <c r="B3" i="16"/>
  <c r="B10" i="18" l="1"/>
  <c r="B21" i="18"/>
  <c r="B33" i="18" s="1"/>
  <c r="B45" i="18" s="1"/>
  <c r="B57" i="18" s="1"/>
  <c r="B69" i="18" s="1"/>
  <c r="B81" i="18" s="1"/>
  <c r="B93" i="18" s="1"/>
  <c r="B105" i="18" s="1"/>
  <c r="B117" i="18" s="1"/>
  <c r="B15" i="16"/>
  <c r="B27" i="16" s="1"/>
  <c r="B39" i="16" s="1"/>
  <c r="B51" i="16" s="1"/>
  <c r="B63" i="16" s="1"/>
  <c r="B75" i="16" s="1"/>
  <c r="B87" i="16" s="1"/>
  <c r="B99" i="16" s="1"/>
  <c r="B111" i="16" s="1"/>
  <c r="B4" i="16"/>
  <c r="F17" i="2"/>
  <c r="B11" i="18" l="1"/>
  <c r="B22" i="18"/>
  <c r="B34" i="18" s="1"/>
  <c r="B46" i="18" s="1"/>
  <c r="B58" i="18" s="1"/>
  <c r="B70" i="18" s="1"/>
  <c r="B82" i="18" s="1"/>
  <c r="B94" i="18" s="1"/>
  <c r="B106" i="18" s="1"/>
  <c r="B118" i="18" s="1"/>
  <c r="B16" i="16"/>
  <c r="B28" i="16" s="1"/>
  <c r="B40" i="16" s="1"/>
  <c r="B52" i="16" s="1"/>
  <c r="B64" i="16" s="1"/>
  <c r="B76" i="16" s="1"/>
  <c r="B88" i="16" s="1"/>
  <c r="B100" i="16" s="1"/>
  <c r="B112" i="16" s="1"/>
  <c r="B5" i="16"/>
  <c r="B23" i="18" l="1"/>
  <c r="B35" i="18" s="1"/>
  <c r="B47" i="18" s="1"/>
  <c r="B59" i="18" s="1"/>
  <c r="B71" i="18" s="1"/>
  <c r="B83" i="18" s="1"/>
  <c r="B95" i="18" s="1"/>
  <c r="B107" i="18" s="1"/>
  <c r="B119" i="18" s="1"/>
  <c r="B12" i="18"/>
  <c r="B6" i="16"/>
  <c r="B17" i="16"/>
  <c r="B29" i="16" s="1"/>
  <c r="B41" i="16" s="1"/>
  <c r="B53" i="16" s="1"/>
  <c r="B65" i="16" s="1"/>
  <c r="B77" i="16" s="1"/>
  <c r="B89" i="16" s="1"/>
  <c r="B101" i="16" s="1"/>
  <c r="B113" i="16" s="1"/>
  <c r="D15" i="15"/>
  <c r="E14" i="2"/>
  <c r="D14" i="2"/>
  <c r="C14" i="2"/>
  <c r="L10" i="1"/>
  <c r="L11" i="1"/>
  <c r="L12" i="1"/>
  <c r="C10" i="1"/>
  <c r="B24" i="18" l="1"/>
  <c r="B36" i="18" s="1"/>
  <c r="B48" i="18" s="1"/>
  <c r="B60" i="18" s="1"/>
  <c r="B72" i="18" s="1"/>
  <c r="B84" i="18" s="1"/>
  <c r="B96" i="18" s="1"/>
  <c r="B108" i="18" s="1"/>
  <c r="B120" i="18" s="1"/>
  <c r="B13" i="18"/>
  <c r="B25" i="18" s="1"/>
  <c r="B37" i="18" s="1"/>
  <c r="B49" i="18" s="1"/>
  <c r="B61" i="18" s="1"/>
  <c r="B73" i="18" s="1"/>
  <c r="B85" i="18" s="1"/>
  <c r="B97" i="18" s="1"/>
  <c r="B109" i="18" s="1"/>
  <c r="B121" i="18" s="1"/>
  <c r="B18" i="16"/>
  <c r="B30" i="16" s="1"/>
  <c r="B42" i="16" s="1"/>
  <c r="B54" i="16" s="1"/>
  <c r="B66" i="16" s="1"/>
  <c r="B78" i="16" s="1"/>
  <c r="B90" i="16" s="1"/>
  <c r="B102" i="16" s="1"/>
  <c r="B114" i="16" s="1"/>
  <c r="B7" i="16"/>
  <c r="D24" i="15"/>
  <c r="D21" i="15"/>
  <c r="E21" i="15"/>
  <c r="F21" i="15"/>
  <c r="D22" i="15"/>
  <c r="E22" i="15"/>
  <c r="F22" i="15"/>
  <c r="D23" i="15"/>
  <c r="E23" i="15"/>
  <c r="F23" i="15"/>
  <c r="E24" i="15"/>
  <c r="D20" i="15"/>
  <c r="D18" i="15"/>
  <c r="E18" i="15"/>
  <c r="F18" i="15"/>
  <c r="D19" i="15"/>
  <c r="E19" i="15"/>
  <c r="F19" i="15"/>
  <c r="E20" i="15"/>
  <c r="F20" i="15"/>
  <c r="B19" i="16" l="1"/>
  <c r="B31" i="16" s="1"/>
  <c r="B43" i="16" s="1"/>
  <c r="B55" i="16" s="1"/>
  <c r="B67" i="16" s="1"/>
  <c r="B79" i="16" s="1"/>
  <c r="B91" i="16" s="1"/>
  <c r="B103" i="16" s="1"/>
  <c r="B115" i="16" s="1"/>
  <c r="B8" i="16"/>
  <c r="F17" i="15"/>
  <c r="E17" i="15"/>
  <c r="D17" i="15"/>
  <c r="F16" i="15"/>
  <c r="E16" i="15"/>
  <c r="D16" i="15"/>
  <c r="F15" i="15"/>
  <c r="E15" i="15"/>
  <c r="M2" i="15"/>
  <c r="M3" i="15"/>
  <c r="M4" i="15"/>
  <c r="M5" i="15"/>
  <c r="M6" i="15"/>
  <c r="M7" i="15"/>
  <c r="M8" i="15"/>
  <c r="M9" i="15"/>
  <c r="M10" i="15"/>
  <c r="M11" i="15"/>
  <c r="M12" i="15"/>
  <c r="M13" i="15"/>
  <c r="B20" i="16" l="1"/>
  <c r="B32" i="16" s="1"/>
  <c r="B44" i="16" s="1"/>
  <c r="B56" i="16" s="1"/>
  <c r="B68" i="16" s="1"/>
  <c r="B80" i="16" s="1"/>
  <c r="B92" i="16" s="1"/>
  <c r="B104" i="16" s="1"/>
  <c r="B116" i="16" s="1"/>
  <c r="B9" i="16"/>
  <c r="H56" i="1"/>
  <c r="F56" i="1"/>
  <c r="G56" i="1"/>
  <c r="G57" i="1"/>
  <c r="G58" i="1"/>
  <c r="G55" i="1"/>
  <c r="G64" i="1"/>
  <c r="G63" i="1"/>
  <c r="G62" i="1"/>
  <c r="G61" i="1"/>
  <c r="G60" i="1"/>
  <c r="G59" i="1"/>
  <c r="F62" i="1"/>
  <c r="F61" i="1"/>
  <c r="F60" i="1"/>
  <c r="F57" i="1" s="1"/>
  <c r="F59" i="1"/>
  <c r="F63" i="1"/>
  <c r="F64" i="1"/>
  <c r="A63" i="1"/>
  <c r="A64" i="1" s="1"/>
  <c r="A57" i="1"/>
  <c r="A58" i="1" s="1"/>
  <c r="A59" i="1" s="1"/>
  <c r="A60" i="1" s="1"/>
  <c r="A61" i="1" s="1"/>
  <c r="A62" i="1" s="1"/>
  <c r="A56" i="1"/>
  <c r="F58" i="1" l="1"/>
  <c r="H58" i="1" s="1"/>
  <c r="H57" i="1"/>
  <c r="B10" i="16"/>
  <c r="B21" i="16"/>
  <c r="B33" i="16" s="1"/>
  <c r="B45" i="16" s="1"/>
  <c r="B57" i="16" s="1"/>
  <c r="B69" i="16" s="1"/>
  <c r="B81" i="16" s="1"/>
  <c r="B93" i="16" s="1"/>
  <c r="B105" i="16" s="1"/>
  <c r="B117" i="16" s="1"/>
  <c r="A14" i="14"/>
  <c r="B25" i="14"/>
  <c r="A25" i="14"/>
  <c r="D24" i="14"/>
  <c r="B24" i="14"/>
  <c r="A24" i="14"/>
  <c r="B23" i="14"/>
  <c r="A23" i="14"/>
  <c r="B22" i="14"/>
  <c r="A22" i="14"/>
  <c r="B21" i="14"/>
  <c r="A21" i="14"/>
  <c r="D20" i="14"/>
  <c r="B20" i="14"/>
  <c r="A20" i="14"/>
  <c r="B19" i="14"/>
  <c r="A19" i="14"/>
  <c r="B18" i="14"/>
  <c r="A18" i="14"/>
  <c r="B17" i="14"/>
  <c r="A17" i="14"/>
  <c r="D16" i="14"/>
  <c r="B16" i="14"/>
  <c r="A16" i="14"/>
  <c r="B15" i="14"/>
  <c r="A15" i="14"/>
  <c r="B14" i="14"/>
  <c r="D13" i="14"/>
  <c r="D25" i="14" s="1"/>
  <c r="D12" i="14"/>
  <c r="D11" i="14"/>
  <c r="D23" i="14" s="1"/>
  <c r="D10" i="14"/>
  <c r="D22" i="14" s="1"/>
  <c r="D9" i="14"/>
  <c r="D21" i="14" s="1"/>
  <c r="D8" i="14"/>
  <c r="D7" i="14"/>
  <c r="D6" i="14"/>
  <c r="D18" i="14" s="1"/>
  <c r="D5" i="14"/>
  <c r="D17" i="14" s="1"/>
  <c r="D4" i="14"/>
  <c r="D3" i="14"/>
  <c r="D2" i="14"/>
  <c r="D14" i="14" s="1"/>
  <c r="B25" i="13"/>
  <c r="A25" i="13"/>
  <c r="B24" i="13"/>
  <c r="A24" i="13"/>
  <c r="B23" i="13"/>
  <c r="A23" i="13"/>
  <c r="D22" i="13"/>
  <c r="B22" i="13"/>
  <c r="A22" i="13"/>
  <c r="B21" i="13"/>
  <c r="A21" i="13"/>
  <c r="B20" i="13"/>
  <c r="A20" i="13"/>
  <c r="B19" i="13"/>
  <c r="A19" i="13"/>
  <c r="D18" i="13"/>
  <c r="B18" i="13"/>
  <c r="A18" i="13"/>
  <c r="B17" i="13"/>
  <c r="A17" i="13"/>
  <c r="B16" i="13"/>
  <c r="A16" i="13"/>
  <c r="B15" i="13"/>
  <c r="A15" i="13"/>
  <c r="D14" i="13"/>
  <c r="B14" i="13"/>
  <c r="A14" i="13"/>
  <c r="D13" i="13"/>
  <c r="D12" i="13"/>
  <c r="D24" i="13" s="1"/>
  <c r="D11" i="13"/>
  <c r="D23" i="13" s="1"/>
  <c r="D10" i="13"/>
  <c r="D9" i="13"/>
  <c r="D8" i="13"/>
  <c r="D20" i="13" s="1"/>
  <c r="D7" i="13"/>
  <c r="D19" i="13" s="1"/>
  <c r="D6" i="13"/>
  <c r="D5" i="13"/>
  <c r="D4" i="13"/>
  <c r="D16" i="13" s="1"/>
  <c r="D3" i="13"/>
  <c r="D15" i="13" s="1"/>
  <c r="D2" i="13"/>
  <c r="B25" i="12"/>
  <c r="A25" i="12"/>
  <c r="B24" i="12"/>
  <c r="A24" i="12"/>
  <c r="B23" i="12"/>
  <c r="A23" i="12"/>
  <c r="D22" i="12"/>
  <c r="B22" i="12"/>
  <c r="A22" i="12"/>
  <c r="B21" i="12"/>
  <c r="A21" i="12"/>
  <c r="B20" i="12"/>
  <c r="A20" i="12"/>
  <c r="B19" i="12"/>
  <c r="A19" i="12"/>
  <c r="D18" i="12"/>
  <c r="B18" i="12"/>
  <c r="A18" i="12"/>
  <c r="B17" i="12"/>
  <c r="A17" i="12"/>
  <c r="B16" i="12"/>
  <c r="A16" i="12"/>
  <c r="B15" i="12"/>
  <c r="A15" i="12"/>
  <c r="D14" i="12"/>
  <c r="B14" i="12"/>
  <c r="A14" i="12"/>
  <c r="D12" i="12"/>
  <c r="D24" i="12" s="1"/>
  <c r="D11" i="12"/>
  <c r="D23" i="12" s="1"/>
  <c r="D10" i="12"/>
  <c r="D9" i="12"/>
  <c r="D8" i="12"/>
  <c r="D20" i="12" s="1"/>
  <c r="D7" i="12"/>
  <c r="D19" i="12" s="1"/>
  <c r="D6" i="12"/>
  <c r="D5" i="12"/>
  <c r="D4" i="12"/>
  <c r="D16" i="12" s="1"/>
  <c r="D3" i="12"/>
  <c r="D15" i="12" s="1"/>
  <c r="D2" i="12"/>
  <c r="A15" i="9"/>
  <c r="A27" i="9" s="1"/>
  <c r="A39" i="9" s="1"/>
  <c r="A51" i="9" s="1"/>
  <c r="A63" i="9" s="1"/>
  <c r="A75" i="9" s="1"/>
  <c r="A87" i="9" s="1"/>
  <c r="A99" i="9" s="1"/>
  <c r="A111" i="9" s="1"/>
  <c r="A16" i="9"/>
  <c r="A28" i="9" s="1"/>
  <c r="A40" i="9" s="1"/>
  <c r="A52" i="9" s="1"/>
  <c r="A64" i="9" s="1"/>
  <c r="A76" i="9" s="1"/>
  <c r="A88" i="9" s="1"/>
  <c r="A100" i="9" s="1"/>
  <c r="A112" i="9" s="1"/>
  <c r="A17" i="9"/>
  <c r="A29" i="9" s="1"/>
  <c r="A41" i="9" s="1"/>
  <c r="A53" i="9" s="1"/>
  <c r="A65" i="9" s="1"/>
  <c r="A77" i="9" s="1"/>
  <c r="A89" i="9" s="1"/>
  <c r="A101" i="9" s="1"/>
  <c r="A113" i="9" s="1"/>
  <c r="A18" i="9"/>
  <c r="A30" i="9" s="1"/>
  <c r="A42" i="9" s="1"/>
  <c r="A54" i="9" s="1"/>
  <c r="A66" i="9" s="1"/>
  <c r="A78" i="9" s="1"/>
  <c r="A90" i="9" s="1"/>
  <c r="A102" i="9" s="1"/>
  <c r="A114" i="9" s="1"/>
  <c r="A19" i="9"/>
  <c r="A31" i="9" s="1"/>
  <c r="A43" i="9" s="1"/>
  <c r="A55" i="9" s="1"/>
  <c r="A67" i="9" s="1"/>
  <c r="A79" i="9" s="1"/>
  <c r="A91" i="9" s="1"/>
  <c r="A103" i="9" s="1"/>
  <c r="A115" i="9" s="1"/>
  <c r="A20" i="9"/>
  <c r="A32" i="9" s="1"/>
  <c r="A44" i="9" s="1"/>
  <c r="A56" i="9" s="1"/>
  <c r="A68" i="9" s="1"/>
  <c r="A80" i="9" s="1"/>
  <c r="A92" i="9" s="1"/>
  <c r="A104" i="9" s="1"/>
  <c r="A116" i="9" s="1"/>
  <c r="A21" i="9"/>
  <c r="A33" i="9" s="1"/>
  <c r="A45" i="9" s="1"/>
  <c r="A57" i="9" s="1"/>
  <c r="A69" i="9" s="1"/>
  <c r="A81" i="9" s="1"/>
  <c r="A93" i="9" s="1"/>
  <c r="A105" i="9" s="1"/>
  <c r="A117" i="9" s="1"/>
  <c r="A22" i="9"/>
  <c r="A34" i="9" s="1"/>
  <c r="A46" i="9" s="1"/>
  <c r="A58" i="9" s="1"/>
  <c r="A70" i="9" s="1"/>
  <c r="A82" i="9" s="1"/>
  <c r="A94" i="9" s="1"/>
  <c r="A106" i="9" s="1"/>
  <c r="A118" i="9" s="1"/>
  <c r="A23" i="9"/>
  <c r="A35" i="9" s="1"/>
  <c r="A47" i="9" s="1"/>
  <c r="A59" i="9" s="1"/>
  <c r="A71" i="9" s="1"/>
  <c r="A83" i="9" s="1"/>
  <c r="A95" i="9" s="1"/>
  <c r="A107" i="9" s="1"/>
  <c r="A119" i="9" s="1"/>
  <c r="A24" i="9"/>
  <c r="A36" i="9" s="1"/>
  <c r="A48" i="9" s="1"/>
  <c r="A60" i="9" s="1"/>
  <c r="A72" i="9" s="1"/>
  <c r="A84" i="9" s="1"/>
  <c r="A96" i="9" s="1"/>
  <c r="A108" i="9" s="1"/>
  <c r="A120" i="9" s="1"/>
  <c r="A25" i="9"/>
  <c r="A37" i="9" s="1"/>
  <c r="A49" i="9" s="1"/>
  <c r="A61" i="9" s="1"/>
  <c r="A73" i="9" s="1"/>
  <c r="A85" i="9" s="1"/>
  <c r="A97" i="9" s="1"/>
  <c r="A109" i="9" s="1"/>
  <c r="A121" i="9" s="1"/>
  <c r="B14" i="9"/>
  <c r="B26" i="9" s="1"/>
  <c r="B38" i="9" s="1"/>
  <c r="B50" i="9" s="1"/>
  <c r="B62" i="9" s="1"/>
  <c r="B74" i="9" s="1"/>
  <c r="B86" i="9" s="1"/>
  <c r="B98" i="9" s="1"/>
  <c r="B110" i="9" s="1"/>
  <c r="A14" i="9"/>
  <c r="A26" i="9" s="1"/>
  <c r="A38" i="9" s="1"/>
  <c r="A50" i="9" s="1"/>
  <c r="A62" i="9" s="1"/>
  <c r="A74" i="9" s="1"/>
  <c r="A86" i="9" s="1"/>
  <c r="A98" i="9" s="1"/>
  <c r="A110" i="9" s="1"/>
  <c r="B3" i="9"/>
  <c r="B4" i="9" s="1"/>
  <c r="B22" i="16" l="1"/>
  <c r="B34" i="16" s="1"/>
  <c r="B46" i="16" s="1"/>
  <c r="B58" i="16" s="1"/>
  <c r="B70" i="16" s="1"/>
  <c r="B82" i="16" s="1"/>
  <c r="B94" i="16" s="1"/>
  <c r="B106" i="16" s="1"/>
  <c r="B118" i="16" s="1"/>
  <c r="B11" i="16"/>
  <c r="D15" i="14"/>
  <c r="D19" i="14"/>
  <c r="D17" i="13"/>
  <c r="D21" i="13"/>
  <c r="D25" i="13"/>
  <c r="D17" i="12"/>
  <c r="D21" i="12"/>
  <c r="D25" i="12"/>
  <c r="B15" i="9"/>
  <c r="B27" i="9" s="1"/>
  <c r="B39" i="9" s="1"/>
  <c r="B51" i="9" s="1"/>
  <c r="B63" i="9" s="1"/>
  <c r="B75" i="9" s="1"/>
  <c r="B87" i="9" s="1"/>
  <c r="B99" i="9" s="1"/>
  <c r="B111" i="9" s="1"/>
  <c r="B5" i="9"/>
  <c r="B6" i="9" s="1"/>
  <c r="B7" i="9" s="1"/>
  <c r="B8" i="9" s="1"/>
  <c r="B9" i="9" s="1"/>
  <c r="B10" i="9" s="1"/>
  <c r="B11" i="9" s="1"/>
  <c r="B12" i="9" s="1"/>
  <c r="B13" i="9" s="1"/>
  <c r="B25" i="9" s="1"/>
  <c r="B37" i="9" s="1"/>
  <c r="B49" i="9" s="1"/>
  <c r="B61" i="9" s="1"/>
  <c r="B73" i="9" s="1"/>
  <c r="B85" i="9" s="1"/>
  <c r="B97" i="9" s="1"/>
  <c r="B109" i="9" s="1"/>
  <c r="B121" i="9" s="1"/>
  <c r="B16" i="9"/>
  <c r="B28" i="9" s="1"/>
  <c r="B40" i="9" s="1"/>
  <c r="B52" i="9" s="1"/>
  <c r="B64" i="9" s="1"/>
  <c r="B76" i="9" s="1"/>
  <c r="B88" i="9" s="1"/>
  <c r="B100" i="9" s="1"/>
  <c r="B112" i="9" s="1"/>
  <c r="B19" i="9"/>
  <c r="B31" i="9" s="1"/>
  <c r="B43" i="9" s="1"/>
  <c r="B55" i="9" s="1"/>
  <c r="B67" i="9" s="1"/>
  <c r="B79" i="9" s="1"/>
  <c r="B91" i="9" s="1"/>
  <c r="B103" i="9" s="1"/>
  <c r="B115" i="9" s="1"/>
  <c r="F5" i="2"/>
  <c r="F6" i="2"/>
  <c r="F7" i="2"/>
  <c r="F8" i="2"/>
  <c r="F9" i="2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C11" i="2"/>
  <c r="B11" i="2"/>
  <c r="N13" i="1"/>
  <c r="O13" i="1" s="1"/>
  <c r="N11" i="1"/>
  <c r="N12" i="1"/>
  <c r="N10" i="1"/>
  <c r="N9" i="1"/>
  <c r="H2" i="10" l="1"/>
  <c r="O12" i="1"/>
  <c r="B23" i="16"/>
  <c r="B35" i="16" s="1"/>
  <c r="B47" i="16" s="1"/>
  <c r="B59" i="16" s="1"/>
  <c r="B71" i="16" s="1"/>
  <c r="B83" i="16" s="1"/>
  <c r="B95" i="16" s="1"/>
  <c r="B107" i="16" s="1"/>
  <c r="B119" i="16" s="1"/>
  <c r="B12" i="16"/>
  <c r="B22" i="9"/>
  <c r="B34" i="9" s="1"/>
  <c r="B46" i="9" s="1"/>
  <c r="B58" i="9" s="1"/>
  <c r="B70" i="9" s="1"/>
  <c r="B82" i="9" s="1"/>
  <c r="B94" i="9" s="1"/>
  <c r="B106" i="9" s="1"/>
  <c r="B118" i="9" s="1"/>
  <c r="B21" i="9"/>
  <c r="B33" i="9" s="1"/>
  <c r="B45" i="9" s="1"/>
  <c r="B57" i="9" s="1"/>
  <c r="B69" i="9" s="1"/>
  <c r="B81" i="9" s="1"/>
  <c r="B93" i="9" s="1"/>
  <c r="B105" i="9" s="1"/>
  <c r="B117" i="9" s="1"/>
  <c r="C4" i="14"/>
  <c r="E4" i="14" s="1"/>
  <c r="C8" i="14"/>
  <c r="E8" i="14" s="1"/>
  <c r="C12" i="14"/>
  <c r="E12" i="14" s="1"/>
  <c r="C16" i="14"/>
  <c r="E16" i="14" s="1"/>
  <c r="C20" i="14"/>
  <c r="E20" i="14" s="1"/>
  <c r="C24" i="14"/>
  <c r="E24" i="14" s="1"/>
  <c r="C10" i="14"/>
  <c r="E10" i="14" s="1"/>
  <c r="C18" i="14"/>
  <c r="E18" i="14" s="1"/>
  <c r="C2" i="14"/>
  <c r="E2" i="14" s="1"/>
  <c r="C3" i="14"/>
  <c r="E3" i="14" s="1"/>
  <c r="C15" i="14"/>
  <c r="E15" i="14" s="1"/>
  <c r="C23" i="14"/>
  <c r="E23" i="14" s="1"/>
  <c r="C5" i="14"/>
  <c r="E5" i="14" s="1"/>
  <c r="C9" i="14"/>
  <c r="E9" i="14" s="1"/>
  <c r="C13" i="14"/>
  <c r="E13" i="14" s="1"/>
  <c r="C17" i="14"/>
  <c r="E17" i="14" s="1"/>
  <c r="C21" i="14"/>
  <c r="E21" i="14" s="1"/>
  <c r="C25" i="14"/>
  <c r="E25" i="14" s="1"/>
  <c r="C6" i="14"/>
  <c r="E6" i="14" s="1"/>
  <c r="C14" i="14"/>
  <c r="E14" i="14" s="1"/>
  <c r="C22" i="14"/>
  <c r="E22" i="14" s="1"/>
  <c r="C7" i="14"/>
  <c r="E7" i="14" s="1"/>
  <c r="C11" i="14"/>
  <c r="E11" i="14" s="1"/>
  <c r="C19" i="14"/>
  <c r="E19" i="14" s="1"/>
  <c r="C5" i="12"/>
  <c r="E5" i="12" s="1"/>
  <c r="C9" i="12"/>
  <c r="E9" i="12" s="1"/>
  <c r="C13" i="12"/>
  <c r="E13" i="12" s="1"/>
  <c r="C17" i="12"/>
  <c r="E17" i="12" s="1"/>
  <c r="C21" i="12"/>
  <c r="E21" i="12" s="1"/>
  <c r="C25" i="12"/>
  <c r="E25" i="12" s="1"/>
  <c r="C8" i="12"/>
  <c r="E8" i="12" s="1"/>
  <c r="C20" i="12"/>
  <c r="E20" i="12" s="1"/>
  <c r="C6" i="12"/>
  <c r="E6" i="12" s="1"/>
  <c r="C10" i="12"/>
  <c r="E10" i="12" s="1"/>
  <c r="C14" i="12"/>
  <c r="E14" i="12" s="1"/>
  <c r="C18" i="12"/>
  <c r="E18" i="12" s="1"/>
  <c r="C22" i="12"/>
  <c r="E22" i="12" s="1"/>
  <c r="C2" i="12"/>
  <c r="E2" i="12" s="1"/>
  <c r="C3" i="12"/>
  <c r="E3" i="12" s="1"/>
  <c r="C7" i="12"/>
  <c r="E7" i="12" s="1"/>
  <c r="C11" i="12"/>
  <c r="E11" i="12" s="1"/>
  <c r="C15" i="12"/>
  <c r="E15" i="12" s="1"/>
  <c r="C19" i="12"/>
  <c r="E19" i="12" s="1"/>
  <c r="C23" i="12"/>
  <c r="E23" i="12" s="1"/>
  <c r="C4" i="12"/>
  <c r="E4" i="12" s="1"/>
  <c r="C12" i="12"/>
  <c r="E12" i="12" s="1"/>
  <c r="C16" i="12"/>
  <c r="E16" i="12" s="1"/>
  <c r="C24" i="12"/>
  <c r="E24" i="12" s="1"/>
  <c r="C5" i="13"/>
  <c r="E5" i="13" s="1"/>
  <c r="C9" i="13"/>
  <c r="E9" i="13" s="1"/>
  <c r="C13" i="13"/>
  <c r="E13" i="13" s="1"/>
  <c r="C17" i="13"/>
  <c r="E17" i="13" s="1"/>
  <c r="C21" i="13"/>
  <c r="E21" i="13" s="1"/>
  <c r="C25" i="13"/>
  <c r="E25" i="13" s="1"/>
  <c r="C12" i="13"/>
  <c r="E12" i="13" s="1"/>
  <c r="C24" i="13"/>
  <c r="E24" i="13" s="1"/>
  <c r="C6" i="13"/>
  <c r="E6" i="13" s="1"/>
  <c r="C10" i="13"/>
  <c r="E10" i="13" s="1"/>
  <c r="C14" i="13"/>
  <c r="E14" i="13" s="1"/>
  <c r="C18" i="13"/>
  <c r="E18" i="13" s="1"/>
  <c r="C22" i="13"/>
  <c r="E22" i="13" s="1"/>
  <c r="C2" i="13"/>
  <c r="E2" i="13" s="1"/>
  <c r="C3" i="13"/>
  <c r="E3" i="13" s="1"/>
  <c r="C7" i="13"/>
  <c r="E7" i="13" s="1"/>
  <c r="C11" i="13"/>
  <c r="E11" i="13" s="1"/>
  <c r="C15" i="13"/>
  <c r="E15" i="13" s="1"/>
  <c r="C19" i="13"/>
  <c r="E19" i="13" s="1"/>
  <c r="C23" i="13"/>
  <c r="E23" i="13" s="1"/>
  <c r="C4" i="13"/>
  <c r="E4" i="13" s="1"/>
  <c r="C8" i="13"/>
  <c r="E8" i="13" s="1"/>
  <c r="C16" i="13"/>
  <c r="E16" i="13" s="1"/>
  <c r="C20" i="13"/>
  <c r="E20" i="13" s="1"/>
  <c r="B18" i="9"/>
  <c r="B30" i="9" s="1"/>
  <c r="B42" i="9" s="1"/>
  <c r="B54" i="9" s="1"/>
  <c r="B66" i="9" s="1"/>
  <c r="B78" i="9" s="1"/>
  <c r="B90" i="9" s="1"/>
  <c r="B102" i="9" s="1"/>
  <c r="B114" i="9" s="1"/>
  <c r="B17" i="9"/>
  <c r="B29" i="9" s="1"/>
  <c r="B41" i="9" s="1"/>
  <c r="B53" i="9" s="1"/>
  <c r="B65" i="9" s="1"/>
  <c r="B77" i="9" s="1"/>
  <c r="B89" i="9" s="1"/>
  <c r="B101" i="9" s="1"/>
  <c r="B113" i="9" s="1"/>
  <c r="B20" i="9"/>
  <c r="B32" i="9" s="1"/>
  <c r="B44" i="9" s="1"/>
  <c r="B56" i="9" s="1"/>
  <c r="B68" i="9" s="1"/>
  <c r="B80" i="9" s="1"/>
  <c r="B92" i="9" s="1"/>
  <c r="B104" i="9" s="1"/>
  <c r="B116" i="9" s="1"/>
  <c r="B23" i="9"/>
  <c r="B35" i="9" s="1"/>
  <c r="B47" i="9" s="1"/>
  <c r="B59" i="9" s="1"/>
  <c r="B71" i="9" s="1"/>
  <c r="B83" i="9" s="1"/>
  <c r="B95" i="9" s="1"/>
  <c r="B107" i="9" s="1"/>
  <c r="B119" i="9" s="1"/>
  <c r="B24" i="9"/>
  <c r="B36" i="9" s="1"/>
  <c r="B48" i="9" s="1"/>
  <c r="B60" i="9" s="1"/>
  <c r="B72" i="9" s="1"/>
  <c r="B84" i="9" s="1"/>
  <c r="B96" i="9" s="1"/>
  <c r="B108" i="9" s="1"/>
  <c r="B120" i="9" s="1"/>
  <c r="E2" i="3"/>
  <c r="E3" i="3"/>
  <c r="E6" i="3"/>
  <c r="E10" i="3"/>
  <c r="E14" i="3"/>
  <c r="I25" i="3" s="1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P33" i="1"/>
  <c r="P23" i="1"/>
  <c r="A14" i="3"/>
  <c r="A15" i="3"/>
  <c r="A16" i="3"/>
  <c r="A17" i="3"/>
  <c r="A18" i="3"/>
  <c r="A19" i="3"/>
  <c r="A20" i="3"/>
  <c r="A21" i="3"/>
  <c r="A22" i="3"/>
  <c r="A23" i="3"/>
  <c r="A24" i="3"/>
  <c r="A25" i="3"/>
  <c r="B14" i="3"/>
  <c r="B25" i="3"/>
  <c r="C18" i="10" l="1"/>
  <c r="E18" i="10" s="1"/>
  <c r="H4" i="10"/>
  <c r="H6" i="10" s="1"/>
  <c r="C23" i="10"/>
  <c r="E23" i="10" s="1"/>
  <c r="C19" i="10"/>
  <c r="E19" i="10" s="1"/>
  <c r="C15" i="10"/>
  <c r="E15" i="10" s="1"/>
  <c r="C22" i="10"/>
  <c r="E22" i="10" s="1"/>
  <c r="C14" i="10"/>
  <c r="C20" i="10"/>
  <c r="E20" i="10" s="1"/>
  <c r="I2" i="10"/>
  <c r="C16" i="10"/>
  <c r="E16" i="10" s="1"/>
  <c r="C25" i="10"/>
  <c r="E25" i="10" s="1"/>
  <c r="C24" i="10"/>
  <c r="E24" i="10" s="1"/>
  <c r="C21" i="10"/>
  <c r="E21" i="10" s="1"/>
  <c r="C17" i="10"/>
  <c r="E17" i="10" s="1"/>
  <c r="C31" i="16"/>
  <c r="E31" i="16" s="1"/>
  <c r="C14" i="16"/>
  <c r="F14" i="16" s="1"/>
  <c r="C27" i="16"/>
  <c r="E27" i="16" s="1"/>
  <c r="C32" i="16"/>
  <c r="F32" i="16" s="1"/>
  <c r="C35" i="16"/>
  <c r="E35" i="16" s="1"/>
  <c r="C30" i="16"/>
  <c r="E30" i="16" s="1"/>
  <c r="C36" i="16"/>
  <c r="F36" i="16" s="1"/>
  <c r="C24" i="16"/>
  <c r="E24" i="16" s="1"/>
  <c r="C20" i="16"/>
  <c r="F20" i="16" s="1"/>
  <c r="C33" i="16"/>
  <c r="E33" i="16" s="1"/>
  <c r="C29" i="16"/>
  <c r="D29" i="16" s="1"/>
  <c r="C23" i="16"/>
  <c r="E23" i="16" s="1"/>
  <c r="C18" i="16"/>
  <c r="D18" i="16" s="1"/>
  <c r="C17" i="16"/>
  <c r="D17" i="16" s="1"/>
  <c r="C28" i="16"/>
  <c r="F28" i="16" s="1"/>
  <c r="C26" i="16"/>
  <c r="F26" i="16" s="1"/>
  <c r="C16" i="16"/>
  <c r="F16" i="16" s="1"/>
  <c r="E36" i="16"/>
  <c r="C34" i="16"/>
  <c r="C22" i="16"/>
  <c r="E22" i="16" s="1"/>
  <c r="C21" i="16"/>
  <c r="F21" i="16" s="1"/>
  <c r="C19" i="16"/>
  <c r="D19" i="16" s="1"/>
  <c r="C37" i="16"/>
  <c r="C15" i="16"/>
  <c r="E15" i="16" s="1"/>
  <c r="C25" i="16"/>
  <c r="E25" i="16" s="1"/>
  <c r="C4" i="16"/>
  <c r="C11" i="16"/>
  <c r="C6" i="16"/>
  <c r="C5" i="16"/>
  <c r="C7" i="16"/>
  <c r="C3" i="16"/>
  <c r="C8" i="16"/>
  <c r="C13" i="16"/>
  <c r="C12" i="16"/>
  <c r="C2" i="16"/>
  <c r="C10" i="16"/>
  <c r="C9" i="16"/>
  <c r="B24" i="16"/>
  <c r="B36" i="16" s="1"/>
  <c r="B48" i="16" s="1"/>
  <c r="B60" i="16" s="1"/>
  <c r="B72" i="16" s="1"/>
  <c r="B84" i="16" s="1"/>
  <c r="B96" i="16" s="1"/>
  <c r="B108" i="16" s="1"/>
  <c r="B120" i="16" s="1"/>
  <c r="B13" i="16"/>
  <c r="B25" i="16" s="1"/>
  <c r="B37" i="16" s="1"/>
  <c r="B49" i="16" s="1"/>
  <c r="B61" i="16" s="1"/>
  <c r="B73" i="16" s="1"/>
  <c r="B85" i="16" s="1"/>
  <c r="B97" i="16" s="1"/>
  <c r="B109" i="16" s="1"/>
  <c r="B121" i="16" s="1"/>
  <c r="E13" i="3"/>
  <c r="E9" i="3"/>
  <c r="E5" i="3"/>
  <c r="E12" i="3"/>
  <c r="E8" i="3"/>
  <c r="E4" i="3"/>
  <c r="E11" i="3"/>
  <c r="E7" i="3"/>
  <c r="B20" i="3"/>
  <c r="B16" i="3"/>
  <c r="B22" i="3"/>
  <c r="B18" i="3"/>
  <c r="B21" i="3"/>
  <c r="B17" i="3"/>
  <c r="B24" i="3"/>
  <c r="B23" i="3"/>
  <c r="B19" i="3"/>
  <c r="B15" i="3"/>
  <c r="E14" i="10" l="1"/>
  <c r="G25" i="10"/>
  <c r="I4" i="10"/>
  <c r="I6" i="10" s="1"/>
  <c r="C13" i="10" s="1"/>
  <c r="E13" i="10" s="1"/>
  <c r="C49" i="16" s="1"/>
  <c r="E14" i="16"/>
  <c r="F24" i="16"/>
  <c r="I24" i="16" s="1"/>
  <c r="D36" i="16"/>
  <c r="D24" i="16"/>
  <c r="D30" i="16"/>
  <c r="F31" i="16"/>
  <c r="H31" i="16" s="1"/>
  <c r="D20" i="16"/>
  <c r="F30" i="16"/>
  <c r="I30" i="16" s="1"/>
  <c r="F35" i="16"/>
  <c r="H35" i="16" s="1"/>
  <c r="F27" i="16"/>
  <c r="G27" i="16" s="1"/>
  <c r="D31" i="16"/>
  <c r="D14" i="16"/>
  <c r="D32" i="16"/>
  <c r="E20" i="16"/>
  <c r="D27" i="16"/>
  <c r="E32" i="16"/>
  <c r="D35" i="16"/>
  <c r="D33" i="16"/>
  <c r="F33" i="16"/>
  <c r="I33" i="16" s="1"/>
  <c r="E29" i="16"/>
  <c r="D23" i="16"/>
  <c r="F23" i="16"/>
  <c r="I23" i="16" s="1"/>
  <c r="F22" i="16"/>
  <c r="G22" i="16" s="1"/>
  <c r="E28" i="16"/>
  <c r="F29" i="16"/>
  <c r="H29" i="16" s="1"/>
  <c r="D28" i="16"/>
  <c r="E26" i="16"/>
  <c r="E19" i="16"/>
  <c r="F15" i="16"/>
  <c r="G15" i="16" s="1"/>
  <c r="F19" i="16"/>
  <c r="I19" i="16" s="1"/>
  <c r="D15" i="16"/>
  <c r="D26" i="16"/>
  <c r="E17" i="16"/>
  <c r="D25" i="16"/>
  <c r="F18" i="16"/>
  <c r="G18" i="16" s="1"/>
  <c r="F25" i="16"/>
  <c r="I25" i="16" s="1"/>
  <c r="D16" i="16"/>
  <c r="E18" i="16"/>
  <c r="E16" i="16"/>
  <c r="F17" i="16"/>
  <c r="G17" i="16" s="1"/>
  <c r="E21" i="16"/>
  <c r="F37" i="16"/>
  <c r="D37" i="16"/>
  <c r="E37" i="16"/>
  <c r="G32" i="16"/>
  <c r="I32" i="16"/>
  <c r="H32" i="16"/>
  <c r="F34" i="16"/>
  <c r="E34" i="16"/>
  <c r="D34" i="16"/>
  <c r="D21" i="16"/>
  <c r="D22" i="16"/>
  <c r="G36" i="16"/>
  <c r="I36" i="16"/>
  <c r="H36" i="16"/>
  <c r="G28" i="16"/>
  <c r="I28" i="16"/>
  <c r="H28" i="16"/>
  <c r="G26" i="16"/>
  <c r="I26" i="16"/>
  <c r="H26" i="16"/>
  <c r="F9" i="16"/>
  <c r="D9" i="16"/>
  <c r="E9" i="16"/>
  <c r="F3" i="16"/>
  <c r="D3" i="16"/>
  <c r="E3" i="16"/>
  <c r="F11" i="16"/>
  <c r="D11" i="16"/>
  <c r="E11" i="16"/>
  <c r="H21" i="16"/>
  <c r="G21" i="16"/>
  <c r="I21" i="16"/>
  <c r="F13" i="16"/>
  <c r="D13" i="16"/>
  <c r="E13" i="16"/>
  <c r="G20" i="16"/>
  <c r="I20" i="16"/>
  <c r="H20" i="16"/>
  <c r="F6" i="16"/>
  <c r="E6" i="16"/>
  <c r="D6" i="16"/>
  <c r="F4" i="16"/>
  <c r="E4" i="16"/>
  <c r="D4" i="16"/>
  <c r="F12" i="16"/>
  <c r="E12" i="16"/>
  <c r="D12" i="16"/>
  <c r="F5" i="16"/>
  <c r="E5" i="16"/>
  <c r="D5" i="16"/>
  <c r="F10" i="16"/>
  <c r="D10" i="16"/>
  <c r="E10" i="16"/>
  <c r="F2" i="16"/>
  <c r="E2" i="16"/>
  <c r="D2" i="16"/>
  <c r="F8" i="16"/>
  <c r="E8" i="16"/>
  <c r="D8" i="16"/>
  <c r="G14" i="16"/>
  <c r="H14" i="16"/>
  <c r="I14" i="16"/>
  <c r="G16" i="16"/>
  <c r="I16" i="16"/>
  <c r="H16" i="16"/>
  <c r="F7" i="16"/>
  <c r="E7" i="16"/>
  <c r="D7" i="16"/>
  <c r="E11" i="2"/>
  <c r="D11" i="2"/>
  <c r="B14" i="2"/>
  <c r="I25" i="10" l="1"/>
  <c r="C2" i="10"/>
  <c r="C8" i="10"/>
  <c r="E8" i="10" s="1"/>
  <c r="C12" i="10"/>
  <c r="E12" i="10" s="1"/>
  <c r="C4" i="10"/>
  <c r="E4" i="10" s="1"/>
  <c r="C10" i="10"/>
  <c r="E10" i="10" s="1"/>
  <c r="C6" i="10"/>
  <c r="E6" i="10" s="1"/>
  <c r="C5" i="10"/>
  <c r="E5" i="10" s="1"/>
  <c r="C9" i="10"/>
  <c r="E9" i="10" s="1"/>
  <c r="C3" i="10"/>
  <c r="E3" i="10" s="1"/>
  <c r="C7" i="10"/>
  <c r="E7" i="10" s="1"/>
  <c r="C11" i="10"/>
  <c r="E11" i="10" s="1"/>
  <c r="C61" i="16"/>
  <c r="E61" i="16" s="1"/>
  <c r="F49" i="16"/>
  <c r="I49" i="16" s="1"/>
  <c r="K49" i="16"/>
  <c r="D49" i="16"/>
  <c r="L49" i="16" s="1"/>
  <c r="E49" i="16"/>
  <c r="M49" i="16" s="1"/>
  <c r="H27" i="16"/>
  <c r="G24" i="16"/>
  <c r="H24" i="16"/>
  <c r="I35" i="16"/>
  <c r="G31" i="16"/>
  <c r="G30" i="16"/>
  <c r="G35" i="16"/>
  <c r="I31" i="16"/>
  <c r="H30" i="16"/>
  <c r="I27" i="16"/>
  <c r="G33" i="16"/>
  <c r="H33" i="16"/>
  <c r="I29" i="16"/>
  <c r="G29" i="16"/>
  <c r="G23" i="16"/>
  <c r="H23" i="16"/>
  <c r="I18" i="16"/>
  <c r="I15" i="16"/>
  <c r="H22" i="16"/>
  <c r="I22" i="16"/>
  <c r="H19" i="16"/>
  <c r="G19" i="16"/>
  <c r="H17" i="16"/>
  <c r="H15" i="16"/>
  <c r="G25" i="16"/>
  <c r="I17" i="16"/>
  <c r="H18" i="16"/>
  <c r="H25" i="16"/>
  <c r="H37" i="16"/>
  <c r="G37" i="16"/>
  <c r="I37" i="16"/>
  <c r="I34" i="16"/>
  <c r="G34" i="16"/>
  <c r="H34" i="16"/>
  <c r="D61" i="16"/>
  <c r="I6" i="16"/>
  <c r="G6" i="16"/>
  <c r="H6" i="16"/>
  <c r="H5" i="16"/>
  <c r="G5" i="16"/>
  <c r="I5" i="16"/>
  <c r="H13" i="16"/>
  <c r="G13" i="16"/>
  <c r="I13" i="16"/>
  <c r="G8" i="16"/>
  <c r="I8" i="16"/>
  <c r="H8" i="16"/>
  <c r="I10" i="16"/>
  <c r="G10" i="16"/>
  <c r="H10" i="16"/>
  <c r="I3" i="16"/>
  <c r="G3" i="16"/>
  <c r="H3" i="16"/>
  <c r="I7" i="16"/>
  <c r="G7" i="16"/>
  <c r="H7" i="16"/>
  <c r="G4" i="16"/>
  <c r="I4" i="16"/>
  <c r="H4" i="16"/>
  <c r="G2" i="16"/>
  <c r="H2" i="16"/>
  <c r="I2" i="16"/>
  <c r="G12" i="16"/>
  <c r="I12" i="16"/>
  <c r="H12" i="16"/>
  <c r="I11" i="16"/>
  <c r="G11" i="16"/>
  <c r="H11" i="16"/>
  <c r="H9" i="16"/>
  <c r="G9" i="16"/>
  <c r="I9" i="16"/>
  <c r="F33" i="1"/>
  <c r="F43" i="1" s="1"/>
  <c r="F41" i="1" s="1"/>
  <c r="H59" i="1" s="1"/>
  <c r="K28" i="1"/>
  <c r="L28" i="1" s="1"/>
  <c r="G31" i="1"/>
  <c r="G34" i="1" s="1"/>
  <c r="P34" i="1"/>
  <c r="K47" i="1"/>
  <c r="J46" i="1"/>
  <c r="K45" i="1"/>
  <c r="J45" i="1"/>
  <c r="K44" i="1"/>
  <c r="I44" i="1"/>
  <c r="H44" i="1"/>
  <c r="K46" i="1"/>
  <c r="I45" i="1"/>
  <c r="J44" i="1"/>
  <c r="K43" i="1"/>
  <c r="J43" i="1"/>
  <c r="I43" i="1"/>
  <c r="H43" i="1"/>
  <c r="G43" i="1"/>
  <c r="P24" i="1"/>
  <c r="N18" i="1"/>
  <c r="O18" i="1" s="1"/>
  <c r="N17" i="1"/>
  <c r="O17" i="1" s="1"/>
  <c r="N16" i="1"/>
  <c r="O16" i="1" s="1"/>
  <c r="N15" i="1"/>
  <c r="O15" i="1" s="1"/>
  <c r="N14" i="1"/>
  <c r="O14" i="1" s="1"/>
  <c r="I5" i="1"/>
  <c r="C55" i="16" l="1"/>
  <c r="F55" i="16" s="1"/>
  <c r="C43" i="16"/>
  <c r="C54" i="16"/>
  <c r="C42" i="16"/>
  <c r="C56" i="16"/>
  <c r="C44" i="16"/>
  <c r="K61" i="16"/>
  <c r="C51" i="16"/>
  <c r="C39" i="16"/>
  <c r="C46" i="16"/>
  <c r="C58" i="16"/>
  <c r="E2" i="10"/>
  <c r="G13" i="10"/>
  <c r="C45" i="16"/>
  <c r="C57" i="16"/>
  <c r="C40" i="16"/>
  <c r="C52" i="16"/>
  <c r="F52" i="16" s="1"/>
  <c r="G52" i="16" s="1"/>
  <c r="C47" i="16"/>
  <c r="C59" i="16"/>
  <c r="C41" i="16"/>
  <c r="C53" i="16"/>
  <c r="F53" i="16" s="1"/>
  <c r="G53" i="16" s="1"/>
  <c r="C48" i="16"/>
  <c r="C60" i="16"/>
  <c r="H49" i="16"/>
  <c r="P49" i="16" s="1"/>
  <c r="N49" i="16"/>
  <c r="G49" i="16"/>
  <c r="O49" i="16" s="1"/>
  <c r="M61" i="16"/>
  <c r="F54" i="16"/>
  <c r="F56" i="16"/>
  <c r="F61" i="16"/>
  <c r="N61" i="16" s="1"/>
  <c r="L61" i="16"/>
  <c r="Q49" i="16"/>
  <c r="H31" i="1"/>
  <c r="L43" i="1"/>
  <c r="G44" i="1"/>
  <c r="G41" i="1" s="1"/>
  <c r="H60" i="1" s="1"/>
  <c r="L33" i="1"/>
  <c r="L34" i="1"/>
  <c r="L27" i="1"/>
  <c r="L23" i="1"/>
  <c r="L25" i="1"/>
  <c r="L24" i="1"/>
  <c r="L26" i="1"/>
  <c r="D60" i="16" l="1"/>
  <c r="E60" i="16"/>
  <c r="E57" i="16"/>
  <c r="D57" i="16"/>
  <c r="D51" i="16"/>
  <c r="E51" i="16"/>
  <c r="D47" i="16"/>
  <c r="F47" i="16"/>
  <c r="K47" i="16"/>
  <c r="E47" i="16"/>
  <c r="M47" i="16" s="1"/>
  <c r="K59" i="16"/>
  <c r="K45" i="16"/>
  <c r="D45" i="16"/>
  <c r="L57" i="16" s="1"/>
  <c r="F45" i="16"/>
  <c r="E45" i="16"/>
  <c r="M57" i="16" s="1"/>
  <c r="K57" i="16"/>
  <c r="F57" i="16"/>
  <c r="N57" i="16" s="1"/>
  <c r="D53" i="16"/>
  <c r="E53" i="16"/>
  <c r="E52" i="16"/>
  <c r="D52" i="16"/>
  <c r="D46" i="16"/>
  <c r="K58" i="16"/>
  <c r="S58" i="16" s="1"/>
  <c r="K46" i="16"/>
  <c r="S46" i="16" s="1"/>
  <c r="F46" i="16"/>
  <c r="E46" i="16"/>
  <c r="K44" i="16"/>
  <c r="D44" i="16"/>
  <c r="F44" i="16"/>
  <c r="E44" i="16"/>
  <c r="K56" i="16"/>
  <c r="K43" i="16"/>
  <c r="D43" i="16"/>
  <c r="K55" i="16"/>
  <c r="F43" i="16"/>
  <c r="E43" i="16"/>
  <c r="E59" i="16"/>
  <c r="M59" i="16" s="1"/>
  <c r="D59" i="16"/>
  <c r="I13" i="10"/>
  <c r="C38" i="16"/>
  <c r="C50" i="16"/>
  <c r="K42" i="16"/>
  <c r="F42" i="16"/>
  <c r="K54" i="16"/>
  <c r="D42" i="16"/>
  <c r="E42" i="16"/>
  <c r="F59" i="16"/>
  <c r="F51" i="16"/>
  <c r="H51" i="16" s="1"/>
  <c r="K48" i="16"/>
  <c r="E48" i="16"/>
  <c r="F48" i="16"/>
  <c r="D48" i="16"/>
  <c r="K60" i="16"/>
  <c r="E58" i="16"/>
  <c r="D58" i="16"/>
  <c r="D54" i="16"/>
  <c r="E54" i="16"/>
  <c r="F60" i="16"/>
  <c r="F58" i="16"/>
  <c r="K41" i="16"/>
  <c r="E41" i="16"/>
  <c r="D41" i="16"/>
  <c r="L53" i="16" s="1"/>
  <c r="F41" i="16"/>
  <c r="K53" i="16"/>
  <c r="K40" i="16"/>
  <c r="D40" i="16"/>
  <c r="F40" i="16"/>
  <c r="N52" i="16" s="1"/>
  <c r="E40" i="16"/>
  <c r="K52" i="16"/>
  <c r="K39" i="16"/>
  <c r="F39" i="16"/>
  <c r="K51" i="16"/>
  <c r="D39" i="16"/>
  <c r="E39" i="16"/>
  <c r="M51" i="16" s="1"/>
  <c r="E56" i="16"/>
  <c r="M56" i="16" s="1"/>
  <c r="D56" i="16"/>
  <c r="L56" i="16" s="1"/>
  <c r="E55" i="16"/>
  <c r="M55" i="16" s="1"/>
  <c r="D55" i="16"/>
  <c r="L44" i="1"/>
  <c r="N53" i="16"/>
  <c r="I53" i="16"/>
  <c r="H53" i="16"/>
  <c r="I52" i="16"/>
  <c r="H52" i="16"/>
  <c r="I51" i="16"/>
  <c r="N51" i="16"/>
  <c r="E98" i="16"/>
  <c r="D93" i="16"/>
  <c r="E110" i="16"/>
  <c r="D118" i="16"/>
  <c r="E115" i="16"/>
  <c r="E101" i="16"/>
  <c r="D97" i="16"/>
  <c r="E120" i="16"/>
  <c r="D111" i="16"/>
  <c r="E88" i="16"/>
  <c r="K67" i="16"/>
  <c r="K71" i="16"/>
  <c r="E26" i="5"/>
  <c r="C26" i="5"/>
  <c r="K69" i="16"/>
  <c r="K66" i="16"/>
  <c r="K73" i="16"/>
  <c r="K64" i="16"/>
  <c r="K72" i="16"/>
  <c r="K65" i="16"/>
  <c r="K68" i="16"/>
  <c r="K63" i="16"/>
  <c r="K70" i="16"/>
  <c r="G54" i="16"/>
  <c r="I54" i="16"/>
  <c r="H54" i="16"/>
  <c r="I31" i="1"/>
  <c r="H35" i="1"/>
  <c r="L29" i="1"/>
  <c r="G51" i="16" l="1"/>
  <c r="N59" i="16"/>
  <c r="S47" i="16"/>
  <c r="S48" i="16" s="1"/>
  <c r="S49" i="16" s="1"/>
  <c r="S50" i="16" s="1"/>
  <c r="S51" i="16" s="1"/>
  <c r="S52" i="16" s="1"/>
  <c r="S53" i="16" s="1"/>
  <c r="S54" i="16" s="1"/>
  <c r="S55" i="16" s="1"/>
  <c r="S56" i="16" s="1"/>
  <c r="S57" i="16" s="1"/>
  <c r="M53" i="16"/>
  <c r="N60" i="16"/>
  <c r="L47" i="16"/>
  <c r="L59" i="16"/>
  <c r="H39" i="16"/>
  <c r="I39" i="16"/>
  <c r="Q51" i="16" s="1"/>
  <c r="G39" i="16"/>
  <c r="I40" i="16"/>
  <c r="H40" i="16"/>
  <c r="P52" i="16" s="1"/>
  <c r="G40" i="16"/>
  <c r="O52" i="16" s="1"/>
  <c r="G41" i="16"/>
  <c r="O53" i="16" s="1"/>
  <c r="H41" i="16"/>
  <c r="P53" i="16" s="1"/>
  <c r="I41" i="16"/>
  <c r="Q53" i="16" s="1"/>
  <c r="N58" i="16"/>
  <c r="V58" i="16" s="1"/>
  <c r="L48" i="16"/>
  <c r="L60" i="16"/>
  <c r="L54" i="16"/>
  <c r="E50" i="16"/>
  <c r="D50" i="16"/>
  <c r="F50" i="16"/>
  <c r="M46" i="16"/>
  <c r="U46" i="16" s="1"/>
  <c r="M58" i="16"/>
  <c r="U58" i="16" s="1"/>
  <c r="L46" i="16"/>
  <c r="T46" i="16" s="1"/>
  <c r="L58" i="16"/>
  <c r="T58" i="16" s="1"/>
  <c r="H45" i="16"/>
  <c r="I45" i="16"/>
  <c r="G45" i="16"/>
  <c r="Q52" i="16"/>
  <c r="M54" i="16"/>
  <c r="H43" i="16"/>
  <c r="G43" i="16"/>
  <c r="I43" i="16"/>
  <c r="P51" i="16"/>
  <c r="N48" i="16"/>
  <c r="G48" i="16"/>
  <c r="O48" i="16" s="1"/>
  <c r="H48" i="16"/>
  <c r="P48" i="16" s="1"/>
  <c r="I48" i="16"/>
  <c r="Q48" i="16" s="1"/>
  <c r="K38" i="16"/>
  <c r="K123" i="16" s="1"/>
  <c r="M123" i="16" s="1"/>
  <c r="K50" i="16"/>
  <c r="K124" i="16" s="1"/>
  <c r="M124" i="16" s="1"/>
  <c r="E38" i="16"/>
  <c r="M50" i="16" s="1"/>
  <c r="D38" i="16"/>
  <c r="L50" i="16" s="1"/>
  <c r="F38" i="16"/>
  <c r="L55" i="16"/>
  <c r="I44" i="16"/>
  <c r="G44" i="16"/>
  <c r="H44" i="16"/>
  <c r="N46" i="16"/>
  <c r="V46" i="16" s="1"/>
  <c r="G46" i="16"/>
  <c r="O46" i="16" s="1"/>
  <c r="W46" i="16" s="1"/>
  <c r="I46" i="16"/>
  <c r="Q46" i="16" s="1"/>
  <c r="Y46" i="16" s="1"/>
  <c r="H46" i="16"/>
  <c r="P46" i="16" s="1"/>
  <c r="X46" i="16" s="1"/>
  <c r="L52" i="16"/>
  <c r="L51" i="16"/>
  <c r="N56" i="16"/>
  <c r="M48" i="16"/>
  <c r="M60" i="16"/>
  <c r="N55" i="16"/>
  <c r="H42" i="16"/>
  <c r="G42" i="16"/>
  <c r="I42" i="16"/>
  <c r="Q54" i="16" s="1"/>
  <c r="M52" i="16"/>
  <c r="N47" i="16"/>
  <c r="I47" i="16"/>
  <c r="Q47" i="16" s="1"/>
  <c r="H47" i="16"/>
  <c r="P47" i="16" s="1"/>
  <c r="G47" i="16"/>
  <c r="O47" i="16" s="1"/>
  <c r="N54" i="16"/>
  <c r="K62" i="16"/>
  <c r="K125" i="16" s="1"/>
  <c r="M125" i="16" s="1"/>
  <c r="E78" i="16"/>
  <c r="K90" i="16"/>
  <c r="K114" i="16"/>
  <c r="K102" i="16"/>
  <c r="K78" i="16"/>
  <c r="K104" i="16"/>
  <c r="K92" i="16"/>
  <c r="K80" i="16"/>
  <c r="K116" i="16"/>
  <c r="K87" i="16"/>
  <c r="K111" i="16"/>
  <c r="K99" i="16"/>
  <c r="K75" i="16"/>
  <c r="K83" i="16"/>
  <c r="K95" i="16"/>
  <c r="K119" i="16"/>
  <c r="S119" i="16" s="1"/>
  <c r="K107" i="16"/>
  <c r="K76" i="16"/>
  <c r="K88" i="16"/>
  <c r="K112" i="16"/>
  <c r="K100" i="16"/>
  <c r="K97" i="16"/>
  <c r="K121" i="16"/>
  <c r="S121" i="16" s="1"/>
  <c r="K85" i="16"/>
  <c r="K109" i="16"/>
  <c r="K81" i="16"/>
  <c r="K105" i="16"/>
  <c r="K93" i="16"/>
  <c r="K117" i="16"/>
  <c r="K101" i="16"/>
  <c r="K89" i="16"/>
  <c r="K77" i="16"/>
  <c r="K113" i="16"/>
  <c r="K108" i="16"/>
  <c r="K84" i="16"/>
  <c r="K96" i="16"/>
  <c r="K120" i="16"/>
  <c r="S120" i="16" s="1"/>
  <c r="K103" i="16"/>
  <c r="K79" i="16"/>
  <c r="K91" i="16"/>
  <c r="K115" i="16"/>
  <c r="K94" i="16"/>
  <c r="S94" i="16" s="1"/>
  <c r="K82" i="16"/>
  <c r="S82" i="16" s="1"/>
  <c r="K118" i="16"/>
  <c r="S118" i="16" s="1"/>
  <c r="K106" i="16"/>
  <c r="S106" i="16" s="1"/>
  <c r="S70" i="16"/>
  <c r="P54" i="16"/>
  <c r="D107" i="16"/>
  <c r="O54" i="16"/>
  <c r="D110" i="16"/>
  <c r="D98" i="16"/>
  <c r="E105" i="16"/>
  <c r="D115" i="16"/>
  <c r="E77" i="16"/>
  <c r="D77" i="16"/>
  <c r="D121" i="16"/>
  <c r="D95" i="16"/>
  <c r="E93" i="16"/>
  <c r="D105" i="16"/>
  <c r="E118" i="16"/>
  <c r="E85" i="16"/>
  <c r="E95" i="16"/>
  <c r="E80" i="16"/>
  <c r="D85" i="16"/>
  <c r="E107" i="16"/>
  <c r="D88" i="16"/>
  <c r="E96" i="16"/>
  <c r="E97" i="16"/>
  <c r="E100" i="16"/>
  <c r="E121" i="16"/>
  <c r="D101" i="16"/>
  <c r="D80" i="16"/>
  <c r="D100" i="16"/>
  <c r="D120" i="16"/>
  <c r="D82" i="16"/>
  <c r="D96" i="16"/>
  <c r="E82" i="16"/>
  <c r="E111" i="16"/>
  <c r="D78" i="16"/>
  <c r="K110" i="16"/>
  <c r="F70" i="16"/>
  <c r="D70" i="16"/>
  <c r="E70" i="16"/>
  <c r="E94" i="16"/>
  <c r="D94" i="16"/>
  <c r="F62" i="16"/>
  <c r="E62" i="16"/>
  <c r="D62" i="16"/>
  <c r="E81" i="16"/>
  <c r="D81" i="16"/>
  <c r="E89" i="16"/>
  <c r="D89" i="16"/>
  <c r="F71" i="16"/>
  <c r="D71" i="16"/>
  <c r="E71" i="16"/>
  <c r="E109" i="16"/>
  <c r="D109" i="16"/>
  <c r="F72" i="16"/>
  <c r="E72" i="16"/>
  <c r="D72" i="16"/>
  <c r="E104" i="16"/>
  <c r="D104" i="16"/>
  <c r="E103" i="16"/>
  <c r="D103" i="16"/>
  <c r="E112" i="16"/>
  <c r="D112" i="16"/>
  <c r="E106" i="16"/>
  <c r="D106" i="16"/>
  <c r="E76" i="16"/>
  <c r="D76" i="16"/>
  <c r="E114" i="16"/>
  <c r="D114" i="16"/>
  <c r="E75" i="16"/>
  <c r="D75" i="16"/>
  <c r="F64" i="16"/>
  <c r="E64" i="16"/>
  <c r="D64" i="16"/>
  <c r="D84" i="16"/>
  <c r="E84" i="16"/>
  <c r="F66" i="16"/>
  <c r="E66" i="16"/>
  <c r="D66" i="16"/>
  <c r="E83" i="16"/>
  <c r="D83" i="16"/>
  <c r="E99" i="16"/>
  <c r="D99" i="16"/>
  <c r="D117" i="16"/>
  <c r="E117" i="16"/>
  <c r="D102" i="16"/>
  <c r="E102" i="16"/>
  <c r="F73" i="16"/>
  <c r="D73" i="16"/>
  <c r="E73" i="16"/>
  <c r="E113" i="16"/>
  <c r="D113" i="16"/>
  <c r="D91" i="16"/>
  <c r="E91" i="16"/>
  <c r="E119" i="16"/>
  <c r="D119" i="16"/>
  <c r="F68" i="16"/>
  <c r="E68" i="16"/>
  <c r="D68" i="16"/>
  <c r="E108" i="16"/>
  <c r="D108" i="16"/>
  <c r="F69" i="16"/>
  <c r="D69" i="16"/>
  <c r="E69" i="16"/>
  <c r="D116" i="16"/>
  <c r="E116" i="16"/>
  <c r="F63" i="16"/>
  <c r="E63" i="16"/>
  <c r="D63" i="16"/>
  <c r="F65" i="16"/>
  <c r="E65" i="16"/>
  <c r="D65" i="16"/>
  <c r="E90" i="16"/>
  <c r="D90" i="16"/>
  <c r="E79" i="16"/>
  <c r="D79" i="16"/>
  <c r="E87" i="16"/>
  <c r="D87" i="16"/>
  <c r="E86" i="16"/>
  <c r="D86" i="16"/>
  <c r="F67" i="16"/>
  <c r="E67" i="16"/>
  <c r="D67" i="16"/>
  <c r="D92" i="16"/>
  <c r="E92" i="16"/>
  <c r="H55" i="16"/>
  <c r="I55" i="16"/>
  <c r="G55" i="16"/>
  <c r="J31" i="1"/>
  <c r="I36" i="1"/>
  <c r="H45" i="1"/>
  <c r="L35" i="1"/>
  <c r="T47" i="16" l="1"/>
  <c r="O51" i="16"/>
  <c r="H38" i="16"/>
  <c r="G38" i="16"/>
  <c r="I38" i="16"/>
  <c r="N50" i="16"/>
  <c r="H50" i="16"/>
  <c r="P50" i="16" s="1"/>
  <c r="I50" i="16"/>
  <c r="G50" i="16"/>
  <c r="K129" i="16"/>
  <c r="K98" i="16"/>
  <c r="K86" i="16"/>
  <c r="K127" i="16" s="1"/>
  <c r="M127" i="16" s="1"/>
  <c r="K74" i="16"/>
  <c r="K126" i="16" s="1"/>
  <c r="M126" i="16" s="1"/>
  <c r="S107" i="16"/>
  <c r="S108" i="16" s="1"/>
  <c r="S109" i="16" s="1"/>
  <c r="S110" i="16" s="1"/>
  <c r="S111" i="16" s="1"/>
  <c r="S112" i="16" s="1"/>
  <c r="S113" i="16" s="1"/>
  <c r="S114" i="16" s="1"/>
  <c r="S115" i="16" s="1"/>
  <c r="S116" i="16" s="1"/>
  <c r="S117" i="16" s="1"/>
  <c r="S83" i="16"/>
  <c r="S84" i="16" s="1"/>
  <c r="S85" i="16" s="1"/>
  <c r="S86" i="16" s="1"/>
  <c r="S87" i="16" s="1"/>
  <c r="S88" i="16" s="1"/>
  <c r="S89" i="16" s="1"/>
  <c r="S90" i="16" s="1"/>
  <c r="S91" i="16" s="1"/>
  <c r="S92" i="16" s="1"/>
  <c r="S93" i="16" s="1"/>
  <c r="S71" i="16"/>
  <c r="S72" i="16" s="1"/>
  <c r="S73" i="16" s="1"/>
  <c r="S74" i="16" s="1"/>
  <c r="S75" i="16" s="1"/>
  <c r="S76" i="16" s="1"/>
  <c r="S77" i="16" s="1"/>
  <c r="S78" i="16" s="1"/>
  <c r="S79" i="16" s="1"/>
  <c r="S80" i="16" s="1"/>
  <c r="S81" i="16" s="1"/>
  <c r="S59" i="16"/>
  <c r="S60" i="16" s="1"/>
  <c r="S61" i="16" s="1"/>
  <c r="S62" i="16" s="1"/>
  <c r="S63" i="16" s="1"/>
  <c r="S64" i="16" s="1"/>
  <c r="S65" i="16" s="1"/>
  <c r="S66" i="16" s="1"/>
  <c r="S67" i="16" s="1"/>
  <c r="S68" i="16" s="1"/>
  <c r="S69" i="16" s="1"/>
  <c r="S95" i="16"/>
  <c r="S96" i="16" s="1"/>
  <c r="S97" i="16" s="1"/>
  <c r="S98" i="16" s="1"/>
  <c r="S99" i="16" s="1"/>
  <c r="S100" i="16" s="1"/>
  <c r="S101" i="16" s="1"/>
  <c r="S102" i="16" s="1"/>
  <c r="S103" i="16" s="1"/>
  <c r="S104" i="16" s="1"/>
  <c r="S105" i="16" s="1"/>
  <c r="L118" i="16"/>
  <c r="T118" i="16" s="1"/>
  <c r="N65" i="16"/>
  <c r="L93" i="16"/>
  <c r="L105" i="16"/>
  <c r="L81" i="16"/>
  <c r="L69" i="16"/>
  <c r="L117" i="16"/>
  <c r="L102" i="16"/>
  <c r="L66" i="16"/>
  <c r="L78" i="16"/>
  <c r="L114" i="16"/>
  <c r="L90" i="16"/>
  <c r="M119" i="16"/>
  <c r="U119" i="16" s="1"/>
  <c r="M71" i="16"/>
  <c r="M83" i="16"/>
  <c r="M95" i="16"/>
  <c r="M107" i="16"/>
  <c r="L82" i="16"/>
  <c r="T82" i="16" s="1"/>
  <c r="L94" i="16"/>
  <c r="T94" i="16" s="1"/>
  <c r="L70" i="16"/>
  <c r="T70" i="16" s="1"/>
  <c r="L106" i="16"/>
  <c r="T106" i="16" s="1"/>
  <c r="O55" i="16"/>
  <c r="N69" i="16"/>
  <c r="M73" i="16"/>
  <c r="M85" i="16"/>
  <c r="M97" i="16"/>
  <c r="M121" i="16"/>
  <c r="U121" i="16" s="1"/>
  <c r="M109" i="16"/>
  <c r="L119" i="16"/>
  <c r="T119" i="16" s="1"/>
  <c r="L83" i="16"/>
  <c r="L95" i="16"/>
  <c r="L107" i="16"/>
  <c r="L71" i="16"/>
  <c r="L62" i="16"/>
  <c r="N70" i="16"/>
  <c r="V70" i="16" s="1"/>
  <c r="L89" i="16"/>
  <c r="L101" i="16"/>
  <c r="L77" i="16"/>
  <c r="L65" i="16"/>
  <c r="L113" i="16"/>
  <c r="P55" i="16"/>
  <c r="L103" i="16"/>
  <c r="L91" i="16"/>
  <c r="L79" i="16"/>
  <c r="L67" i="16"/>
  <c r="L115" i="16"/>
  <c r="M89" i="16"/>
  <c r="M101" i="16"/>
  <c r="M113" i="16"/>
  <c r="M65" i="16"/>
  <c r="M77" i="16"/>
  <c r="N63" i="16"/>
  <c r="M69" i="16"/>
  <c r="M117" i="16"/>
  <c r="M81" i="16"/>
  <c r="M93" i="16"/>
  <c r="M105" i="16"/>
  <c r="N68" i="16"/>
  <c r="N73" i="16"/>
  <c r="M88" i="16"/>
  <c r="M76" i="16"/>
  <c r="M64" i="16"/>
  <c r="M100" i="16"/>
  <c r="M112" i="16"/>
  <c r="M120" i="16"/>
  <c r="U120" i="16" s="1"/>
  <c r="M72" i="16"/>
  <c r="M108" i="16"/>
  <c r="M84" i="16"/>
  <c r="M96" i="16"/>
  <c r="N62" i="16"/>
  <c r="M82" i="16"/>
  <c r="U82" i="16" s="1"/>
  <c r="M118" i="16"/>
  <c r="U118" i="16" s="1"/>
  <c r="M70" i="16"/>
  <c r="U70" i="16" s="1"/>
  <c r="M94" i="16"/>
  <c r="U94" i="16" s="1"/>
  <c r="M106" i="16"/>
  <c r="U106" i="16" s="1"/>
  <c r="M115" i="16"/>
  <c r="M103" i="16"/>
  <c r="M67" i="16"/>
  <c r="M79" i="16"/>
  <c r="M91" i="16"/>
  <c r="N64" i="16"/>
  <c r="N72" i="16"/>
  <c r="N67" i="16"/>
  <c r="L75" i="16"/>
  <c r="L99" i="16"/>
  <c r="L63" i="16"/>
  <c r="L111" i="16"/>
  <c r="L87" i="16"/>
  <c r="L104" i="16"/>
  <c r="L68" i="16"/>
  <c r="L92" i="16"/>
  <c r="L80" i="16"/>
  <c r="L116" i="16"/>
  <c r="M90" i="16"/>
  <c r="M66" i="16"/>
  <c r="M102" i="16"/>
  <c r="M114" i="16"/>
  <c r="M78" i="16"/>
  <c r="Q55" i="16"/>
  <c r="M99" i="16"/>
  <c r="M75" i="16"/>
  <c r="M87" i="16"/>
  <c r="M111" i="16"/>
  <c r="M63" i="16"/>
  <c r="M116" i="16"/>
  <c r="M68" i="16"/>
  <c r="M80" i="16"/>
  <c r="M104" i="16"/>
  <c r="M92" i="16"/>
  <c r="L85" i="16"/>
  <c r="L73" i="16"/>
  <c r="L97" i="16"/>
  <c r="L109" i="16"/>
  <c r="L121" i="16"/>
  <c r="T121" i="16" s="1"/>
  <c r="N66" i="16"/>
  <c r="L112" i="16"/>
  <c r="L88" i="16"/>
  <c r="L64" i="16"/>
  <c r="L100" i="16"/>
  <c r="L76" i="16"/>
  <c r="L72" i="16"/>
  <c r="L120" i="16"/>
  <c r="T120" i="16" s="1"/>
  <c r="L96" i="16"/>
  <c r="L84" i="16"/>
  <c r="L108" i="16"/>
  <c r="N71" i="16"/>
  <c r="M62" i="16"/>
  <c r="E74" i="16"/>
  <c r="M86" i="16" s="1"/>
  <c r="D74" i="16"/>
  <c r="L98" i="16" s="1"/>
  <c r="I56" i="16"/>
  <c r="G56" i="16"/>
  <c r="H56" i="16"/>
  <c r="L45" i="1"/>
  <c r="H41" i="1"/>
  <c r="H61" i="1" s="1"/>
  <c r="K31" i="1"/>
  <c r="K38" i="1" s="1"/>
  <c r="J37" i="1"/>
  <c r="I46" i="1"/>
  <c r="L36" i="1"/>
  <c r="Q50" i="16" l="1"/>
  <c r="O50" i="16"/>
  <c r="T107" i="16"/>
  <c r="T108" i="16" s="1"/>
  <c r="T109" i="16" s="1"/>
  <c r="T110" i="16" s="1"/>
  <c r="T111" i="16" s="1"/>
  <c r="T112" i="16" s="1"/>
  <c r="T113" i="16" s="1"/>
  <c r="T114" i="16" s="1"/>
  <c r="T115" i="16" s="1"/>
  <c r="T116" i="16" s="1"/>
  <c r="T117" i="16" s="1"/>
  <c r="M129" i="16"/>
  <c r="K128" i="16"/>
  <c r="M128" i="16" s="1"/>
  <c r="F80" i="16"/>
  <c r="F75" i="16"/>
  <c r="F83" i="16"/>
  <c r="F85" i="16"/>
  <c r="F78" i="16"/>
  <c r="F79" i="16"/>
  <c r="F82" i="16"/>
  <c r="F76" i="16"/>
  <c r="F84" i="16"/>
  <c r="F77" i="16"/>
  <c r="F81" i="16"/>
  <c r="F74" i="16"/>
  <c r="U83" i="16"/>
  <c r="U84" i="16" s="1"/>
  <c r="U85" i="16" s="1"/>
  <c r="U86" i="16" s="1"/>
  <c r="U87" i="16" s="1"/>
  <c r="U88" i="16" s="1"/>
  <c r="U89" i="16" s="1"/>
  <c r="U90" i="16" s="1"/>
  <c r="U91" i="16" s="1"/>
  <c r="U92" i="16" s="1"/>
  <c r="U93" i="16" s="1"/>
  <c r="U107" i="16"/>
  <c r="U108" i="16" s="1"/>
  <c r="U109" i="16" s="1"/>
  <c r="U110" i="16" s="1"/>
  <c r="U111" i="16" s="1"/>
  <c r="U112" i="16" s="1"/>
  <c r="U113" i="16" s="1"/>
  <c r="U114" i="16" s="1"/>
  <c r="U115" i="16" s="1"/>
  <c r="U116" i="16" s="1"/>
  <c r="U117" i="16" s="1"/>
  <c r="U71" i="16"/>
  <c r="U72" i="16" s="1"/>
  <c r="U73" i="16" s="1"/>
  <c r="U74" i="16" s="1"/>
  <c r="U75" i="16" s="1"/>
  <c r="U76" i="16" s="1"/>
  <c r="U77" i="16" s="1"/>
  <c r="U78" i="16" s="1"/>
  <c r="U79" i="16" s="1"/>
  <c r="U80" i="16" s="1"/>
  <c r="U81" i="16" s="1"/>
  <c r="U59" i="16"/>
  <c r="U60" i="16" s="1"/>
  <c r="U61" i="16" s="1"/>
  <c r="U62" i="16" s="1"/>
  <c r="U63" i="16" s="1"/>
  <c r="U64" i="16" s="1"/>
  <c r="U65" i="16" s="1"/>
  <c r="U66" i="16" s="1"/>
  <c r="U67" i="16" s="1"/>
  <c r="U68" i="16" s="1"/>
  <c r="U69" i="16" s="1"/>
  <c r="T71" i="16"/>
  <c r="T72" i="16" s="1"/>
  <c r="T73" i="16" s="1"/>
  <c r="T74" i="16" s="1"/>
  <c r="T75" i="16" s="1"/>
  <c r="T76" i="16" s="1"/>
  <c r="T77" i="16" s="1"/>
  <c r="T78" i="16" s="1"/>
  <c r="T79" i="16" s="1"/>
  <c r="T80" i="16" s="1"/>
  <c r="T81" i="16" s="1"/>
  <c r="T59" i="16"/>
  <c r="T60" i="16" s="1"/>
  <c r="T61" i="16" s="1"/>
  <c r="T62" i="16" s="1"/>
  <c r="T63" i="16" s="1"/>
  <c r="T64" i="16" s="1"/>
  <c r="T65" i="16" s="1"/>
  <c r="T66" i="16" s="1"/>
  <c r="T67" i="16" s="1"/>
  <c r="T68" i="16" s="1"/>
  <c r="T69" i="16" s="1"/>
  <c r="T95" i="16"/>
  <c r="T96" i="16" s="1"/>
  <c r="T97" i="16" s="1"/>
  <c r="T98" i="16" s="1"/>
  <c r="T99" i="16" s="1"/>
  <c r="T100" i="16" s="1"/>
  <c r="T101" i="16" s="1"/>
  <c r="T102" i="16" s="1"/>
  <c r="T103" i="16" s="1"/>
  <c r="T104" i="16" s="1"/>
  <c r="T105" i="16" s="1"/>
  <c r="U95" i="16"/>
  <c r="U96" i="16" s="1"/>
  <c r="U97" i="16" s="1"/>
  <c r="U98" i="16" s="1"/>
  <c r="U99" i="16" s="1"/>
  <c r="U100" i="16" s="1"/>
  <c r="U101" i="16" s="1"/>
  <c r="U102" i="16" s="1"/>
  <c r="U103" i="16" s="1"/>
  <c r="U104" i="16" s="1"/>
  <c r="U105" i="16" s="1"/>
  <c r="V59" i="16"/>
  <c r="V60" i="16" s="1"/>
  <c r="V61" i="16" s="1"/>
  <c r="V62" i="16" s="1"/>
  <c r="V63" i="16" s="1"/>
  <c r="V64" i="16" s="1"/>
  <c r="V65" i="16" s="1"/>
  <c r="V66" i="16" s="1"/>
  <c r="V67" i="16" s="1"/>
  <c r="V68" i="16" s="1"/>
  <c r="V69" i="16" s="1"/>
  <c r="T83" i="16"/>
  <c r="T84" i="16" s="1"/>
  <c r="T85" i="16" s="1"/>
  <c r="T86" i="16" s="1"/>
  <c r="T87" i="16" s="1"/>
  <c r="T88" i="16" s="1"/>
  <c r="T89" i="16" s="1"/>
  <c r="T90" i="16" s="1"/>
  <c r="T91" i="16" s="1"/>
  <c r="T92" i="16" s="1"/>
  <c r="T93" i="16" s="1"/>
  <c r="L86" i="16"/>
  <c r="M110" i="16"/>
  <c r="O56" i="16"/>
  <c r="M74" i="16"/>
  <c r="M98" i="16"/>
  <c r="L110" i="16"/>
  <c r="P56" i="16"/>
  <c r="L74" i="16"/>
  <c r="Q56" i="16"/>
  <c r="H57" i="16"/>
  <c r="I57" i="16"/>
  <c r="G57" i="16"/>
  <c r="L46" i="1"/>
  <c r="I41" i="1"/>
  <c r="H62" i="1" s="1"/>
  <c r="L38" i="1"/>
  <c r="K48" i="1"/>
  <c r="L37" i="1"/>
  <c r="J47" i="1"/>
  <c r="L39" i="1" l="1"/>
  <c r="F95" i="16"/>
  <c r="N95" i="16" s="1"/>
  <c r="F93" i="16"/>
  <c r="N93" i="16" s="1"/>
  <c r="F92" i="16"/>
  <c r="N92" i="16" s="1"/>
  <c r="F96" i="16"/>
  <c r="N96" i="16" s="1"/>
  <c r="F97" i="16"/>
  <c r="N97" i="16" s="1"/>
  <c r="F94" i="16"/>
  <c r="N94" i="16" s="1"/>
  <c r="V94" i="16" s="1"/>
  <c r="F89" i="16"/>
  <c r="F90" i="16"/>
  <c r="N90" i="16" s="1"/>
  <c r="F86" i="16"/>
  <c r="F87" i="16"/>
  <c r="N87" i="16" s="1"/>
  <c r="F88" i="16"/>
  <c r="N88" i="16" s="1"/>
  <c r="F91" i="16"/>
  <c r="N91" i="16" s="1"/>
  <c r="N86" i="16"/>
  <c r="N74" i="16"/>
  <c r="N76" i="16"/>
  <c r="N85" i="16"/>
  <c r="N81" i="16"/>
  <c r="N82" i="16"/>
  <c r="V82" i="16" s="1"/>
  <c r="N83" i="16"/>
  <c r="N77" i="16"/>
  <c r="N79" i="16"/>
  <c r="N75" i="16"/>
  <c r="N84" i="16"/>
  <c r="N78" i="16"/>
  <c r="N80" i="16"/>
  <c r="P57" i="16"/>
  <c r="O57" i="16"/>
  <c r="Q57" i="16"/>
  <c r="G58" i="16"/>
  <c r="I58" i="16"/>
  <c r="H58" i="16"/>
  <c r="L48" i="1"/>
  <c r="K41" i="1"/>
  <c r="H64" i="1" s="1"/>
  <c r="L47" i="1"/>
  <c r="J41" i="1"/>
  <c r="H63" i="1" s="1"/>
  <c r="L49" i="1" l="1"/>
  <c r="L51" i="1" s="1"/>
  <c r="F121" i="16"/>
  <c r="F110" i="16"/>
  <c r="F114" i="16"/>
  <c r="F115" i="16"/>
  <c r="F111" i="16"/>
  <c r="F112" i="16"/>
  <c r="F117" i="16"/>
  <c r="F113" i="16"/>
  <c r="F116" i="16"/>
  <c r="F118" i="16"/>
  <c r="G118" i="16" s="1"/>
  <c r="F120" i="16"/>
  <c r="F119" i="16"/>
  <c r="F105" i="16"/>
  <c r="F109" i="16"/>
  <c r="F107" i="16"/>
  <c r="F98" i="16"/>
  <c r="F106" i="16"/>
  <c r="F100" i="16"/>
  <c r="N100" i="16" s="1"/>
  <c r="F103" i="16"/>
  <c r="N103" i="16" s="1"/>
  <c r="F102" i="16"/>
  <c r="N102" i="16" s="1"/>
  <c r="F104" i="16"/>
  <c r="F108" i="16"/>
  <c r="F101" i="16"/>
  <c r="N101" i="16" s="1"/>
  <c r="F99" i="16"/>
  <c r="N89" i="16"/>
  <c r="V83" i="16"/>
  <c r="V84" i="16" s="1"/>
  <c r="V85" i="16" s="1"/>
  <c r="V86" i="16" s="1"/>
  <c r="V87" i="16" s="1"/>
  <c r="V88" i="16" s="1"/>
  <c r="V89" i="16" s="1"/>
  <c r="V90" i="16" s="1"/>
  <c r="V91" i="16" s="1"/>
  <c r="V92" i="16" s="1"/>
  <c r="V93" i="16" s="1"/>
  <c r="V71" i="16"/>
  <c r="V72" i="16" s="1"/>
  <c r="V73" i="16" s="1"/>
  <c r="V74" i="16" s="1"/>
  <c r="V75" i="16" s="1"/>
  <c r="V76" i="16" s="1"/>
  <c r="V77" i="16" s="1"/>
  <c r="V78" i="16" s="1"/>
  <c r="V79" i="16" s="1"/>
  <c r="V80" i="16" s="1"/>
  <c r="V81" i="16" s="1"/>
  <c r="P58" i="16"/>
  <c r="X58" i="16" s="1"/>
  <c r="Q58" i="16"/>
  <c r="Y58" i="16" s="1"/>
  <c r="O58" i="16"/>
  <c r="W58" i="16" s="1"/>
  <c r="H59" i="16"/>
  <c r="I59" i="16"/>
  <c r="G59" i="16"/>
  <c r="N115" i="16" l="1"/>
  <c r="N114" i="16"/>
  <c r="N113" i="16"/>
  <c r="N120" i="16"/>
  <c r="V120" i="16" s="1"/>
  <c r="N116" i="16"/>
  <c r="N104" i="16"/>
  <c r="N105" i="16"/>
  <c r="N117" i="16"/>
  <c r="N111" i="16"/>
  <c r="N99" i="16"/>
  <c r="N110" i="16"/>
  <c r="N98" i="16"/>
  <c r="N112" i="16"/>
  <c r="N109" i="16"/>
  <c r="N121" i="16"/>
  <c r="V121" i="16" s="1"/>
  <c r="N106" i="16"/>
  <c r="V106" i="16" s="1"/>
  <c r="N118" i="16"/>
  <c r="V118" i="16" s="1"/>
  <c r="N108" i="16"/>
  <c r="N107" i="16"/>
  <c r="N119" i="16"/>
  <c r="V119" i="16" s="1"/>
  <c r="Q59" i="16"/>
  <c r="P59" i="16"/>
  <c r="O59" i="16"/>
  <c r="I60" i="16"/>
  <c r="G60" i="16"/>
  <c r="H60" i="16"/>
  <c r="V107" i="16" l="1"/>
  <c r="V108" i="16" s="1"/>
  <c r="V109" i="16" s="1"/>
  <c r="V110" i="16" s="1"/>
  <c r="V111" i="16" s="1"/>
  <c r="V112" i="16" s="1"/>
  <c r="V113" i="16" s="1"/>
  <c r="V114" i="16" s="1"/>
  <c r="V115" i="16" s="1"/>
  <c r="V116" i="16" s="1"/>
  <c r="V117" i="16" s="1"/>
  <c r="V95" i="16"/>
  <c r="V96" i="16" s="1"/>
  <c r="V97" i="16" s="1"/>
  <c r="V98" i="16" s="1"/>
  <c r="V99" i="16" s="1"/>
  <c r="V100" i="16" s="1"/>
  <c r="V101" i="16" s="1"/>
  <c r="V102" i="16" s="1"/>
  <c r="V103" i="16" s="1"/>
  <c r="V104" i="16" s="1"/>
  <c r="V105" i="16" s="1"/>
  <c r="P60" i="16"/>
  <c r="O60" i="16"/>
  <c r="Q60" i="16"/>
  <c r="H61" i="16"/>
  <c r="I61" i="16"/>
  <c r="G61" i="16"/>
  <c r="O61" i="16" l="1"/>
  <c r="Q61" i="16"/>
  <c r="P61" i="16"/>
  <c r="G62" i="16"/>
  <c r="I62" i="16"/>
  <c r="H62" i="16"/>
  <c r="P62" i="16" l="1"/>
  <c r="Q62" i="16"/>
  <c r="O62" i="16"/>
  <c r="H63" i="16"/>
  <c r="I63" i="16"/>
  <c r="G63" i="16"/>
  <c r="P63" i="16" l="1"/>
  <c r="O63" i="16"/>
  <c r="Q63" i="16"/>
  <c r="I64" i="16"/>
  <c r="G64" i="16"/>
  <c r="H64" i="16"/>
  <c r="Q64" i="16" l="1"/>
  <c r="P64" i="16"/>
  <c r="O64" i="16"/>
  <c r="H65" i="16"/>
  <c r="I65" i="16"/>
  <c r="G65" i="16"/>
  <c r="O65" i="16" l="1"/>
  <c r="Q65" i="16"/>
  <c r="P65" i="16"/>
  <c r="G66" i="16"/>
  <c r="I66" i="16"/>
  <c r="H66" i="16"/>
  <c r="P66" i="16" l="1"/>
  <c r="Q66" i="16"/>
  <c r="O66" i="16"/>
  <c r="H67" i="16"/>
  <c r="I67" i="16"/>
  <c r="G67" i="16"/>
  <c r="Q67" i="16" l="1"/>
  <c r="O67" i="16"/>
  <c r="P67" i="16"/>
  <c r="I68" i="16"/>
  <c r="G68" i="16"/>
  <c r="H68" i="16"/>
  <c r="P68" i="16" l="1"/>
  <c r="O68" i="16"/>
  <c r="Q68" i="16"/>
  <c r="H69" i="16"/>
  <c r="I69" i="16"/>
  <c r="G69" i="16"/>
  <c r="O69" i="16" l="1"/>
  <c r="Q69" i="16"/>
  <c r="P69" i="16"/>
  <c r="G70" i="16"/>
  <c r="I70" i="16"/>
  <c r="H70" i="16"/>
  <c r="P70" i="16" l="1"/>
  <c r="X70" i="16" s="1"/>
  <c r="O70" i="16"/>
  <c r="W70" i="16" s="1"/>
  <c r="Q70" i="16"/>
  <c r="Y70" i="16" s="1"/>
  <c r="H71" i="16"/>
  <c r="I71" i="16"/>
  <c r="G71" i="16"/>
  <c r="W59" i="16" l="1"/>
  <c r="W60" i="16" s="1"/>
  <c r="W61" i="16" s="1"/>
  <c r="W62" i="16" s="1"/>
  <c r="W63" i="16" s="1"/>
  <c r="W64" i="16" s="1"/>
  <c r="W65" i="16" s="1"/>
  <c r="W66" i="16" s="1"/>
  <c r="W67" i="16" s="1"/>
  <c r="W68" i="16" s="1"/>
  <c r="W69" i="16" s="1"/>
  <c r="X59" i="16"/>
  <c r="X60" i="16" s="1"/>
  <c r="X61" i="16" s="1"/>
  <c r="X62" i="16" s="1"/>
  <c r="X63" i="16" s="1"/>
  <c r="X64" i="16" s="1"/>
  <c r="X65" i="16" s="1"/>
  <c r="X66" i="16" s="1"/>
  <c r="X67" i="16" s="1"/>
  <c r="X68" i="16" s="1"/>
  <c r="X69" i="16" s="1"/>
  <c r="Y59" i="16"/>
  <c r="Y60" i="16" s="1"/>
  <c r="Y61" i="16" s="1"/>
  <c r="Y62" i="16" s="1"/>
  <c r="Y63" i="16" s="1"/>
  <c r="Y64" i="16" s="1"/>
  <c r="Y65" i="16" s="1"/>
  <c r="Y66" i="16" s="1"/>
  <c r="Y67" i="16" s="1"/>
  <c r="Y68" i="16" s="1"/>
  <c r="Y69" i="16" s="1"/>
  <c r="O71" i="16"/>
  <c r="Q71" i="16"/>
  <c r="P71" i="16"/>
  <c r="I72" i="16"/>
  <c r="G72" i="16"/>
  <c r="H72" i="16"/>
  <c r="O72" i="16" l="1"/>
  <c r="Q72" i="16"/>
  <c r="P72" i="16"/>
  <c r="H73" i="16"/>
  <c r="I73" i="16"/>
  <c r="G73" i="16"/>
  <c r="Q73" i="16" l="1"/>
  <c r="P73" i="16"/>
  <c r="O73" i="16"/>
  <c r="G74" i="16"/>
  <c r="I74" i="16"/>
  <c r="H74" i="16"/>
  <c r="O74" i="16" l="1"/>
  <c r="P74" i="16"/>
  <c r="Q74" i="16"/>
  <c r="H75" i="16"/>
  <c r="I75" i="16"/>
  <c r="G75" i="16"/>
  <c r="P75" i="16" l="1"/>
  <c r="Q75" i="16"/>
  <c r="O75" i="16"/>
  <c r="H76" i="16"/>
  <c r="I76" i="16"/>
  <c r="G76" i="16"/>
  <c r="Q76" i="16" l="1"/>
  <c r="P76" i="16"/>
  <c r="O76" i="16"/>
  <c r="I77" i="16"/>
  <c r="H77" i="16"/>
  <c r="G77" i="16"/>
  <c r="Q77" i="16" l="1"/>
  <c r="P77" i="16"/>
  <c r="O77" i="16"/>
  <c r="H78" i="16"/>
  <c r="I78" i="16"/>
  <c r="G78" i="16"/>
  <c r="P78" i="16" l="1"/>
  <c r="Q78" i="16"/>
  <c r="O78" i="16"/>
  <c r="G79" i="16"/>
  <c r="I79" i="16"/>
  <c r="H79" i="16"/>
  <c r="O79" i="16" l="1"/>
  <c r="P79" i="16"/>
  <c r="Q79" i="16"/>
  <c r="H80" i="16"/>
  <c r="I80" i="16"/>
  <c r="G80" i="16"/>
  <c r="P80" i="16" l="1"/>
  <c r="Q80" i="16"/>
  <c r="O80" i="16"/>
  <c r="I81" i="16"/>
  <c r="H81" i="16"/>
  <c r="G81" i="16"/>
  <c r="P81" i="16" l="1"/>
  <c r="Q81" i="16"/>
  <c r="O81" i="16"/>
  <c r="H82" i="16"/>
  <c r="I82" i="16"/>
  <c r="G82" i="16"/>
  <c r="P82" i="16" l="1"/>
  <c r="X82" i="16" s="1"/>
  <c r="Q82" i="16"/>
  <c r="Y82" i="16" s="1"/>
  <c r="O82" i="16"/>
  <c r="W82" i="16" s="1"/>
  <c r="G83" i="16"/>
  <c r="I83" i="16"/>
  <c r="H83" i="16"/>
  <c r="Y71" i="16" l="1"/>
  <c r="Y72" i="16" s="1"/>
  <c r="Y73" i="16" s="1"/>
  <c r="Y74" i="16" s="1"/>
  <c r="Y75" i="16" s="1"/>
  <c r="Y76" i="16" s="1"/>
  <c r="Y77" i="16" s="1"/>
  <c r="Y78" i="16" s="1"/>
  <c r="Y79" i="16" s="1"/>
  <c r="Y80" i="16" s="1"/>
  <c r="Y81" i="16" s="1"/>
  <c r="W71" i="16"/>
  <c r="W72" i="16" s="1"/>
  <c r="W73" i="16" s="1"/>
  <c r="W74" i="16" s="1"/>
  <c r="W75" i="16" s="1"/>
  <c r="W76" i="16" s="1"/>
  <c r="W77" i="16" s="1"/>
  <c r="W78" i="16" s="1"/>
  <c r="W79" i="16" s="1"/>
  <c r="W80" i="16" s="1"/>
  <c r="W81" i="16" s="1"/>
  <c r="X71" i="16"/>
  <c r="X72" i="16" s="1"/>
  <c r="X73" i="16" s="1"/>
  <c r="X74" i="16" s="1"/>
  <c r="X75" i="16" s="1"/>
  <c r="X76" i="16" s="1"/>
  <c r="X77" i="16" s="1"/>
  <c r="X78" i="16" s="1"/>
  <c r="X79" i="16" s="1"/>
  <c r="X80" i="16" s="1"/>
  <c r="X81" i="16" s="1"/>
  <c r="O83" i="16"/>
  <c r="Q83" i="16"/>
  <c r="P83" i="16"/>
  <c r="H84" i="16"/>
  <c r="I84" i="16"/>
  <c r="G84" i="16"/>
  <c r="P84" i="16" l="1"/>
  <c r="Q84" i="16"/>
  <c r="O84" i="16"/>
  <c r="I85" i="16"/>
  <c r="H85" i="16"/>
  <c r="G85" i="16"/>
  <c r="Q85" i="16" l="1"/>
  <c r="P85" i="16"/>
  <c r="O85" i="16"/>
  <c r="H86" i="16"/>
  <c r="I86" i="16"/>
  <c r="G86" i="16"/>
  <c r="Q86" i="16" l="1"/>
  <c r="P86" i="16"/>
  <c r="O86" i="16"/>
  <c r="G87" i="16"/>
  <c r="I87" i="16"/>
  <c r="H87" i="16"/>
  <c r="P87" i="16" l="1"/>
  <c r="O87" i="16"/>
  <c r="Q87" i="16"/>
  <c r="H88" i="16"/>
  <c r="I88" i="16"/>
  <c r="G88" i="16"/>
  <c r="O88" i="16" l="1"/>
  <c r="P88" i="16"/>
  <c r="Q88" i="16"/>
  <c r="G89" i="16"/>
  <c r="I89" i="16"/>
  <c r="H89" i="16"/>
  <c r="P89" i="16" l="1"/>
  <c r="O89" i="16"/>
  <c r="Q89" i="16"/>
  <c r="H90" i="16"/>
  <c r="I90" i="16"/>
  <c r="G90" i="16"/>
  <c r="O90" i="16" l="1"/>
  <c r="P90" i="16"/>
  <c r="Q90" i="16"/>
  <c r="I91" i="16"/>
  <c r="H91" i="16"/>
  <c r="G91" i="16"/>
  <c r="Q91" i="16" l="1"/>
  <c r="O91" i="16"/>
  <c r="P91" i="16"/>
  <c r="H92" i="16"/>
  <c r="G92" i="16"/>
  <c r="I92" i="16"/>
  <c r="Q92" i="16" l="1"/>
  <c r="P92" i="16"/>
  <c r="O92" i="16"/>
  <c r="G93" i="16"/>
  <c r="I93" i="16"/>
  <c r="H93" i="16"/>
  <c r="O93" i="16" l="1"/>
  <c r="P93" i="16"/>
  <c r="Q93" i="16"/>
  <c r="H94" i="16"/>
  <c r="I94" i="16"/>
  <c r="G94" i="16"/>
  <c r="O94" i="16" l="1"/>
  <c r="W94" i="16" s="1"/>
  <c r="P94" i="16"/>
  <c r="X94" i="16" s="1"/>
  <c r="Q94" i="16"/>
  <c r="Y94" i="16" s="1"/>
  <c r="I95" i="16"/>
  <c r="H95" i="16"/>
  <c r="G95" i="16"/>
  <c r="X83" i="16" l="1"/>
  <c r="X84" i="16" s="1"/>
  <c r="X85" i="16" s="1"/>
  <c r="X86" i="16" s="1"/>
  <c r="X87" i="16" s="1"/>
  <c r="X88" i="16" s="1"/>
  <c r="X89" i="16" s="1"/>
  <c r="X90" i="16" s="1"/>
  <c r="X91" i="16" s="1"/>
  <c r="X92" i="16" s="1"/>
  <c r="X93" i="16" s="1"/>
  <c r="Y83" i="16"/>
  <c r="Y84" i="16" s="1"/>
  <c r="Y85" i="16" s="1"/>
  <c r="Y86" i="16" s="1"/>
  <c r="Y87" i="16" s="1"/>
  <c r="Y88" i="16" s="1"/>
  <c r="Y89" i="16" s="1"/>
  <c r="Y90" i="16" s="1"/>
  <c r="Y91" i="16" s="1"/>
  <c r="Y92" i="16" s="1"/>
  <c r="Y93" i="16" s="1"/>
  <c r="W83" i="16"/>
  <c r="W84" i="16" s="1"/>
  <c r="W85" i="16" s="1"/>
  <c r="W86" i="16" s="1"/>
  <c r="W87" i="16" s="1"/>
  <c r="W88" i="16" s="1"/>
  <c r="W89" i="16" s="1"/>
  <c r="W90" i="16" s="1"/>
  <c r="W91" i="16" s="1"/>
  <c r="W92" i="16" s="1"/>
  <c r="W93" i="16" s="1"/>
  <c r="Q95" i="16"/>
  <c r="O95" i="16"/>
  <c r="P95" i="16"/>
  <c r="H96" i="16"/>
  <c r="I96" i="16"/>
  <c r="G96" i="16"/>
  <c r="O96" i="16" l="1"/>
  <c r="P96" i="16"/>
  <c r="Q96" i="16"/>
  <c r="G97" i="16"/>
  <c r="I97" i="16"/>
  <c r="H97" i="16"/>
  <c r="P97" i="16" l="1"/>
  <c r="O97" i="16"/>
  <c r="Q97" i="16"/>
  <c r="H98" i="16"/>
  <c r="I98" i="16"/>
  <c r="G98" i="16"/>
  <c r="O98" i="16" l="1"/>
  <c r="P98" i="16"/>
  <c r="Q98" i="16"/>
  <c r="I99" i="16"/>
  <c r="H99" i="16"/>
  <c r="G99" i="16"/>
  <c r="P99" i="16" l="1"/>
  <c r="O99" i="16"/>
  <c r="Q99" i="16"/>
  <c r="H100" i="16"/>
  <c r="G100" i="16"/>
  <c r="I100" i="16"/>
  <c r="O100" i="16" l="1"/>
  <c r="Q100" i="16"/>
  <c r="P100" i="16"/>
  <c r="G101" i="16"/>
  <c r="I101" i="16"/>
  <c r="H101" i="16"/>
  <c r="P101" i="16" l="1"/>
  <c r="Q101" i="16"/>
  <c r="O101" i="16"/>
  <c r="H102" i="16"/>
  <c r="I102" i="16"/>
  <c r="G102" i="16"/>
  <c r="Q102" i="16" l="1"/>
  <c r="O102" i="16"/>
  <c r="P102" i="16"/>
  <c r="I103" i="16"/>
  <c r="H103" i="16"/>
  <c r="G103" i="16"/>
  <c r="P103" i="16" l="1"/>
  <c r="O103" i="16"/>
  <c r="Q103" i="16"/>
  <c r="H104" i="16"/>
  <c r="I104" i="16"/>
  <c r="G104" i="16"/>
  <c r="Q104" i="16" l="1"/>
  <c r="O104" i="16"/>
  <c r="P104" i="16"/>
  <c r="G105" i="16"/>
  <c r="I105" i="16"/>
  <c r="H105" i="16"/>
  <c r="Q105" i="16" l="1"/>
  <c r="P105" i="16"/>
  <c r="O105" i="16"/>
  <c r="H106" i="16"/>
  <c r="I106" i="16"/>
  <c r="G106" i="16"/>
  <c r="Q106" i="16" l="1"/>
  <c r="Y106" i="16" s="1"/>
  <c r="O106" i="16"/>
  <c r="W106" i="16" s="1"/>
  <c r="P106" i="16"/>
  <c r="X106" i="16" s="1"/>
  <c r="I107" i="16"/>
  <c r="H107" i="16"/>
  <c r="G107" i="16"/>
  <c r="W95" i="16" l="1"/>
  <c r="W96" i="16" s="1"/>
  <c r="W97" i="16" s="1"/>
  <c r="W98" i="16" s="1"/>
  <c r="W99" i="16" s="1"/>
  <c r="W100" i="16" s="1"/>
  <c r="W101" i="16" s="1"/>
  <c r="W102" i="16" s="1"/>
  <c r="W103" i="16" s="1"/>
  <c r="W104" i="16" s="1"/>
  <c r="W105" i="16" s="1"/>
  <c r="X95" i="16"/>
  <c r="X96" i="16" s="1"/>
  <c r="X97" i="16" s="1"/>
  <c r="X98" i="16" s="1"/>
  <c r="X99" i="16" s="1"/>
  <c r="X100" i="16" s="1"/>
  <c r="X101" i="16" s="1"/>
  <c r="X102" i="16" s="1"/>
  <c r="X103" i="16" s="1"/>
  <c r="X104" i="16" s="1"/>
  <c r="X105" i="16" s="1"/>
  <c r="Y95" i="16"/>
  <c r="Y96" i="16" s="1"/>
  <c r="Y97" i="16" s="1"/>
  <c r="Y98" i="16" s="1"/>
  <c r="Y99" i="16" s="1"/>
  <c r="Y100" i="16" s="1"/>
  <c r="Y101" i="16" s="1"/>
  <c r="Y102" i="16" s="1"/>
  <c r="Y103" i="16" s="1"/>
  <c r="Y104" i="16" s="1"/>
  <c r="Y105" i="16" s="1"/>
  <c r="P107" i="16"/>
  <c r="O107" i="16"/>
  <c r="Q107" i="16"/>
  <c r="H108" i="16"/>
  <c r="G108" i="16"/>
  <c r="I108" i="16"/>
  <c r="O108" i="16" l="1"/>
  <c r="Q108" i="16"/>
  <c r="P108" i="16"/>
  <c r="G109" i="16"/>
  <c r="I109" i="16"/>
  <c r="H109" i="16"/>
  <c r="P109" i="16" l="1"/>
  <c r="Q109" i="16"/>
  <c r="O109" i="16"/>
  <c r="H110" i="16"/>
  <c r="P110" i="16" s="1"/>
  <c r="I110" i="16"/>
  <c r="Q110" i="16" s="1"/>
  <c r="G110" i="16"/>
  <c r="O110" i="16" s="1"/>
  <c r="I111" i="16" l="1"/>
  <c r="Q111" i="16" s="1"/>
  <c r="H111" i="16"/>
  <c r="P111" i="16" s="1"/>
  <c r="G111" i="16"/>
  <c r="O111" i="16" s="1"/>
  <c r="H112" i="16" l="1"/>
  <c r="P112" i="16" s="1"/>
  <c r="I112" i="16"/>
  <c r="Q112" i="16" s="1"/>
  <c r="G112" i="16"/>
  <c r="O112" i="16" s="1"/>
  <c r="G113" i="16" l="1"/>
  <c r="O113" i="16" s="1"/>
  <c r="H113" i="16"/>
  <c r="P113" i="16" s="1"/>
  <c r="I113" i="16"/>
  <c r="Q113" i="16" s="1"/>
  <c r="H114" i="16" l="1"/>
  <c r="P114" i="16" s="1"/>
  <c r="I114" i="16"/>
  <c r="Q114" i="16" s="1"/>
  <c r="G114" i="16"/>
  <c r="O114" i="16" s="1"/>
  <c r="I115" i="16" l="1"/>
  <c r="Q115" i="16" s="1"/>
  <c r="H115" i="16"/>
  <c r="P115" i="16" s="1"/>
  <c r="G115" i="16"/>
  <c r="O115" i="16" s="1"/>
  <c r="G116" i="16" l="1"/>
  <c r="O116" i="16" s="1"/>
  <c r="H116" i="16"/>
  <c r="P116" i="16" s="1"/>
  <c r="I116" i="16"/>
  <c r="Q116" i="16" s="1"/>
  <c r="G117" i="16" l="1"/>
  <c r="O117" i="16" s="1"/>
  <c r="H117" i="16"/>
  <c r="P117" i="16" s="1"/>
  <c r="I117" i="16"/>
  <c r="Q117" i="16" s="1"/>
  <c r="H118" i="16" l="1"/>
  <c r="P118" i="16" s="1"/>
  <c r="X118" i="16" s="1"/>
  <c r="I118" i="16"/>
  <c r="Q118" i="16" s="1"/>
  <c r="Y118" i="16" s="1"/>
  <c r="O118" i="16"/>
  <c r="W118" i="16" s="1"/>
  <c r="Y107" i="16" l="1"/>
  <c r="Y108" i="16" s="1"/>
  <c r="Y109" i="16" s="1"/>
  <c r="Y110" i="16" s="1"/>
  <c r="Y111" i="16" s="1"/>
  <c r="Y112" i="16" s="1"/>
  <c r="Y113" i="16" s="1"/>
  <c r="Y114" i="16" s="1"/>
  <c r="Y115" i="16" s="1"/>
  <c r="Y116" i="16" s="1"/>
  <c r="Y117" i="16" s="1"/>
  <c r="W107" i="16"/>
  <c r="W108" i="16" s="1"/>
  <c r="W109" i="16" s="1"/>
  <c r="W110" i="16" s="1"/>
  <c r="W111" i="16" s="1"/>
  <c r="W112" i="16" s="1"/>
  <c r="W113" i="16" s="1"/>
  <c r="W114" i="16" s="1"/>
  <c r="W115" i="16" s="1"/>
  <c r="W116" i="16" s="1"/>
  <c r="W117" i="16" s="1"/>
  <c r="X107" i="16"/>
  <c r="X108" i="16" s="1"/>
  <c r="X109" i="16" s="1"/>
  <c r="X110" i="16" s="1"/>
  <c r="X111" i="16" s="1"/>
  <c r="X112" i="16" s="1"/>
  <c r="X113" i="16" s="1"/>
  <c r="X114" i="16" s="1"/>
  <c r="X115" i="16" s="1"/>
  <c r="X116" i="16" s="1"/>
  <c r="X117" i="16" s="1"/>
  <c r="I119" i="16"/>
  <c r="Q119" i="16" s="1"/>
  <c r="Y119" i="16" s="1"/>
  <c r="H119" i="16"/>
  <c r="P119" i="16" s="1"/>
  <c r="X119" i="16" s="1"/>
  <c r="G119" i="16"/>
  <c r="O119" i="16" s="1"/>
  <c r="W119" i="16" s="1"/>
  <c r="G120" i="16" l="1"/>
  <c r="O120" i="16" s="1"/>
  <c r="W120" i="16" s="1"/>
  <c r="H120" i="16"/>
  <c r="P120" i="16" s="1"/>
  <c r="X120" i="16" s="1"/>
  <c r="I120" i="16"/>
  <c r="Q120" i="16" s="1"/>
  <c r="Y120" i="16" s="1"/>
  <c r="G121" i="16" l="1"/>
  <c r="O121" i="16" s="1"/>
  <c r="W121" i="16" s="1"/>
  <c r="H121" i="16"/>
  <c r="P121" i="16" s="1"/>
  <c r="X121" i="16" s="1"/>
  <c r="I121" i="16"/>
  <c r="Q121" i="16" s="1"/>
  <c r="Y121" i="16" s="1"/>
  <c r="X47" i="16" l="1"/>
  <c r="X48" i="16" s="1"/>
  <c r="X49" i="16" s="1"/>
  <c r="X50" i="16" s="1"/>
  <c r="X51" i="16" s="1"/>
  <c r="X52" i="16" s="1"/>
  <c r="X53" i="16" s="1"/>
  <c r="X54" i="16" s="1"/>
  <c r="X55" i="16" s="1"/>
  <c r="X56" i="16" s="1"/>
  <c r="T48" i="16"/>
  <c r="T49" i="16" s="1"/>
  <c r="T50" i="16" s="1"/>
  <c r="T51" i="16" s="1"/>
  <c r="T52" i="16" s="1"/>
  <c r="T53" i="16" s="1"/>
  <c r="T54" i="16" s="1"/>
  <c r="T55" i="16" s="1"/>
  <c r="T56" i="16" s="1"/>
  <c r="U47" i="16"/>
  <c r="U48" i="16" s="1"/>
  <c r="U49" i="16" s="1"/>
  <c r="U50" i="16" s="1"/>
  <c r="U51" i="16" s="1"/>
  <c r="U52" i="16" s="1"/>
  <c r="U53" i="16" s="1"/>
  <c r="U54" i="16" s="1"/>
  <c r="U55" i="16" s="1"/>
  <c r="U56" i="16" s="1"/>
  <c r="Y47" i="16"/>
  <c r="Y48" i="16" s="1"/>
  <c r="Y49" i="16" s="1"/>
  <c r="Y50" i="16" s="1"/>
  <c r="Y51" i="16" s="1"/>
  <c r="Y52" i="16" s="1"/>
  <c r="Y53" i="16" s="1"/>
  <c r="Y54" i="16" s="1"/>
  <c r="Y55" i="16" s="1"/>
  <c r="Y56" i="16" s="1"/>
  <c r="V47" i="16"/>
  <c r="V48" i="16" s="1"/>
  <c r="V49" i="16" s="1"/>
  <c r="V50" i="16" s="1"/>
  <c r="V51" i="16" s="1"/>
  <c r="V52" i="16" s="1"/>
  <c r="V53" i="16" s="1"/>
  <c r="V54" i="16" s="1"/>
  <c r="V55" i="16" s="1"/>
  <c r="V56" i="16" s="1"/>
  <c r="W47" i="16"/>
  <c r="W48" i="16" s="1"/>
  <c r="W49" i="16" s="1"/>
  <c r="W50" i="16" s="1"/>
  <c r="W51" i="16" s="1"/>
  <c r="W52" i="16" s="1"/>
  <c r="W53" i="16" s="1"/>
  <c r="W54" i="16" s="1"/>
  <c r="W55" i="16" s="1"/>
  <c r="W56" i="16" s="1"/>
  <c r="U57" i="16" l="1"/>
  <c r="V57" i="16"/>
  <c r="T57" i="16"/>
  <c r="Y57" i="16"/>
  <c r="X57" i="16"/>
  <c r="W57" i="16"/>
</calcChain>
</file>

<file path=xl/comments1.xml><?xml version="1.0" encoding="utf-8"?>
<comments xmlns="http://schemas.openxmlformats.org/spreadsheetml/2006/main">
  <authors>
    <author>aliciah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aliciah:</t>
        </r>
        <r>
          <rPr>
            <sz val="8"/>
            <color indexed="81"/>
            <rFont val="Tahoma"/>
            <family val="2"/>
          </rPr>
          <t xml:space="preserve">
Given that savings persist</t>
        </r>
      </text>
    </comment>
  </commentList>
</comments>
</file>

<file path=xl/comments2.xml><?xml version="1.0" encoding="utf-8"?>
<comments xmlns="http://schemas.openxmlformats.org/spreadsheetml/2006/main">
  <authors>
    <author>aprilb</author>
    <author>janes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aprilb:</t>
        </r>
        <r>
          <rPr>
            <sz val="9"/>
            <color indexed="81"/>
            <rFont val="Tahoma"/>
            <family val="2"/>
          </rPr>
          <t xml:space="preserve">
Amount provided by Bruce Bibby</t>
        </r>
      </text>
    </comment>
    <comment ref="P8" authorId="0">
      <text>
        <r>
          <rPr>
            <b/>
            <sz val="9"/>
            <color indexed="81"/>
            <rFont val="Tahoma"/>
            <family val="2"/>
          </rPr>
          <t>aprilb:</t>
        </r>
        <r>
          <rPr>
            <sz val="9"/>
            <color indexed="81"/>
            <rFont val="Tahoma"/>
            <family val="2"/>
          </rPr>
          <t xml:space="preserve">
HOL OPA Final 2013 Report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aprilb:</t>
        </r>
        <r>
          <rPr>
            <sz val="9"/>
            <color indexed="81"/>
            <rFont val="Tahoma"/>
            <family val="2"/>
          </rPr>
          <t xml:space="preserve">
HOL Target minus Verified Net Cumulative Energy Savings Results from 2013 verified OPA Report (Page 7)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janes:</t>
        </r>
        <r>
          <rPr>
            <sz val="9"/>
            <color indexed="81"/>
            <rFont val="Tahoma"/>
            <family val="2"/>
          </rPr>
          <t xml:space="preserve">
Ramp up year</t>
        </r>
      </text>
    </comment>
  </commentList>
</comments>
</file>

<file path=xl/comments3.xml><?xml version="1.0" encoding="utf-8"?>
<comments xmlns="http://schemas.openxmlformats.org/spreadsheetml/2006/main">
  <authors>
    <author>aprilb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aprilb:</t>
        </r>
        <r>
          <rPr>
            <sz val="9"/>
            <color indexed="81"/>
            <rFont val="Tahoma"/>
            <family val="2"/>
          </rPr>
          <t xml:space="preserve">
1+2+3+4+5+6+7+8+9+10+11+12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aprilb:</t>
        </r>
        <r>
          <rPr>
            <sz val="9"/>
            <color indexed="81"/>
            <rFont val="Tahoma"/>
            <family val="2"/>
          </rPr>
          <t xml:space="preserve">
9+10+11+12</t>
        </r>
      </text>
    </comment>
  </commentList>
</comments>
</file>

<file path=xl/sharedStrings.xml><?xml version="1.0" encoding="utf-8"?>
<sst xmlns="http://schemas.openxmlformats.org/spreadsheetml/2006/main" count="255" uniqueCount="136">
  <si>
    <t>TWh</t>
  </si>
  <si>
    <t>GWh</t>
  </si>
  <si>
    <t>MWh</t>
  </si>
  <si>
    <t>over 6 years</t>
  </si>
  <si>
    <t>Provincial</t>
  </si>
  <si>
    <t>Ottawa</t>
  </si>
  <si>
    <t>Total</t>
  </si>
  <si>
    <t>Not Cummulative as per Bruce Bibby April 10th, 2014</t>
  </si>
  <si>
    <t>Residential</t>
  </si>
  <si>
    <t>Commercial</t>
  </si>
  <si>
    <t>Small Com</t>
  </si>
  <si>
    <t>Small Comm</t>
  </si>
  <si>
    <t>New CDM Targets for Ontario for 2015 to 2020</t>
  </si>
  <si>
    <t>Residential will contribute less to the targets as the years go by</t>
  </si>
  <si>
    <t>Savings for Hydro Ottawa</t>
  </si>
  <si>
    <t>Consumer Program</t>
  </si>
  <si>
    <t>Business Program</t>
  </si>
  <si>
    <t>Industrial Program</t>
  </si>
  <si>
    <t>Home Assistance Program</t>
  </si>
  <si>
    <t>Pre-2011 Programs</t>
  </si>
  <si>
    <t>Adjustments to Previous Year's Verified Results</t>
  </si>
  <si>
    <t>Net Annual Peak Demand Savings (MW)</t>
  </si>
  <si>
    <t>Net Energy Savings (GWh)</t>
  </si>
  <si>
    <t xml:space="preserve">TOTAL Verified </t>
  </si>
  <si>
    <t>Hydro Ottawa's CDM Targets</t>
  </si>
  <si>
    <t>Verified Forecasted Cumulative Energy Savings in (2011-2014)</t>
  </si>
  <si>
    <t>Verified Portion of Target Achieved</t>
  </si>
  <si>
    <t>Year</t>
  </si>
  <si>
    <t>Month</t>
  </si>
  <si>
    <t>Monthly Allocated</t>
  </si>
  <si>
    <t>% Imbedded in Model</t>
  </si>
  <si>
    <t>MoSavings</t>
  </si>
  <si>
    <t>Res</t>
  </si>
  <si>
    <t>SmCom</t>
  </si>
  <si>
    <t>Com</t>
  </si>
  <si>
    <t>Total_Sales</t>
  </si>
  <si>
    <t>Res_MWh</t>
  </si>
  <si>
    <t>GS50_MWh</t>
  </si>
  <si>
    <t>GS1000NI_MWh</t>
  </si>
  <si>
    <t>GS1000I_MWh</t>
  </si>
  <si>
    <t>GS1500_MWh</t>
  </si>
  <si>
    <t>GS5000_MWh</t>
  </si>
  <si>
    <t>GSLrg_MWh</t>
  </si>
  <si>
    <t>StLight_MWh</t>
  </si>
  <si>
    <t>MU_MWh</t>
  </si>
  <si>
    <t>DCL_Mwh</t>
  </si>
  <si>
    <t>ComToal</t>
  </si>
  <si>
    <t>GS50</t>
  </si>
  <si>
    <t>GS1000I</t>
  </si>
  <si>
    <t>GS1000NI</t>
  </si>
  <si>
    <t>GS1500</t>
  </si>
  <si>
    <t>GS1000-1500 total</t>
  </si>
  <si>
    <t>Peak to Energy Ratio</t>
  </si>
  <si>
    <t>Participation</t>
  </si>
  <si>
    <t>Net Savings</t>
  </si>
  <si>
    <t>Contribution to Targets: Program-to-Date Verified Progress to Target</t>
  </si>
  <si>
    <t xml:space="preserve">Net Incremental Peak Demand Savings (kW) </t>
  </si>
  <si>
    <t>Net Incremental Energy Savings (kWh)</t>
  </si>
  <si>
    <t>Net Annual Peak Demand Savings (kW) in 2014</t>
  </si>
  <si>
    <t>2011-2014 Net Cumulative Energy Savings (kWh)</t>
  </si>
  <si>
    <t>Initiative</t>
  </si>
  <si>
    <t>Activity Unit</t>
  </si>
  <si>
    <t>Consumer Programs</t>
  </si>
  <si>
    <t>Appliance Retirement</t>
  </si>
  <si>
    <t>Appliances</t>
  </si>
  <si>
    <t>Appliance Exchange</t>
  </si>
  <si>
    <t>HVAC Incentives</t>
  </si>
  <si>
    <t>Equipment</t>
  </si>
  <si>
    <t>Conservation Instant Coupon Booklet</t>
  </si>
  <si>
    <t>Coupons</t>
  </si>
  <si>
    <t>Bi-Annual Retailer Event</t>
  </si>
  <si>
    <t>Residential Demand Response</t>
  </si>
  <si>
    <t>Devices</t>
  </si>
  <si>
    <t>New Construction Program</t>
  </si>
  <si>
    <t>Houses</t>
  </si>
  <si>
    <t>MW</t>
  </si>
  <si>
    <t>Business Programs</t>
  </si>
  <si>
    <t>Efficiency: Equipment Replacement</t>
  </si>
  <si>
    <t>Projects</t>
  </si>
  <si>
    <t>Direct Installed Lighting</t>
  </si>
  <si>
    <t>Existing Building Commissioning Incentive</t>
  </si>
  <si>
    <t>Buildings</t>
  </si>
  <si>
    <t>New Construction and Major Renovation Incentive</t>
  </si>
  <si>
    <t>Energy Audit</t>
  </si>
  <si>
    <t>Audits</t>
  </si>
  <si>
    <t xml:space="preserve">Commercial Demand Response </t>
  </si>
  <si>
    <t>Demand Response 3</t>
  </si>
  <si>
    <t>Facilities</t>
  </si>
  <si>
    <t>Industrial Programs</t>
  </si>
  <si>
    <t>Process &amp; System Upgrades</t>
  </si>
  <si>
    <t>a) Preliminary Study</t>
  </si>
  <si>
    <t>b) Engineering Study</t>
  </si>
  <si>
    <t>c) Project Incentive</t>
  </si>
  <si>
    <t>Monitoring &amp; Targeting</t>
  </si>
  <si>
    <t>Energy Manager</t>
  </si>
  <si>
    <t>Managers</t>
  </si>
  <si>
    <t>Key Account Manager ("KAM")</t>
  </si>
  <si>
    <t>Efficiency: Equipment Replacement Incentive</t>
  </si>
  <si>
    <t>Units</t>
  </si>
  <si>
    <t>Pre 2011 Programs Completed in 2011</t>
  </si>
  <si>
    <t>Electricity Retrofit Incentive Program</t>
  </si>
  <si>
    <t>High Performance New Construction</t>
  </si>
  <si>
    <t>Total for Programs In Market</t>
  </si>
  <si>
    <t>Initiatives Not In Market</t>
  </si>
  <si>
    <t>Demand Service Space Cooling</t>
  </si>
  <si>
    <t>Demand Response 1</t>
  </si>
  <si>
    <t>Energy Efficiency Total</t>
  </si>
  <si>
    <t>Demand Response Total</t>
  </si>
  <si>
    <t>TOTAL Province-wide CDM PROGRAMS</t>
  </si>
  <si>
    <t>Full OEB Target:</t>
  </si>
  <si>
    <t>% of Full OEB Target Achieved to Date:</t>
  </si>
  <si>
    <t>TotalSaving</t>
  </si>
  <si>
    <t>ResSaving</t>
  </si>
  <si>
    <t>GS50Saving</t>
  </si>
  <si>
    <t>ComSaving</t>
  </si>
  <si>
    <t>GS1000NISaving</t>
  </si>
  <si>
    <t>GS1500Saving</t>
  </si>
  <si>
    <t>GS1000ISaving</t>
  </si>
  <si>
    <t>TotalCumSave</t>
  </si>
  <si>
    <t>ResCumSave</t>
  </si>
  <si>
    <t>GS50CumSave</t>
  </si>
  <si>
    <t>ComCumSave</t>
  </si>
  <si>
    <t>GS1000NICumSave</t>
  </si>
  <si>
    <t>GS1000ICumSave</t>
  </si>
  <si>
    <t>GS1500CumSave</t>
  </si>
  <si>
    <t>Above Target</t>
  </si>
  <si>
    <t>2015 to 2020 Target</t>
  </si>
  <si>
    <t>Persistance</t>
  </si>
  <si>
    <t>2011 to 2014 Target</t>
  </si>
  <si>
    <t>Imbedded in Fcst</t>
  </si>
  <si>
    <t>Month in fcst</t>
  </si>
  <si>
    <t>50% Actually Visable</t>
  </si>
  <si>
    <t>Not Imbedded</t>
  </si>
  <si>
    <t>Total Not Imbedded</t>
  </si>
  <si>
    <t>Full Year</t>
  </si>
  <si>
    <t>Half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</si>
</sst>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00"/>
    <numFmt numFmtId="167" formatCode="0.0%"/>
    <numFmt numFmtId="168" formatCode="_-* #,##0.000_-;\-* #,##0.000_-;_-* &quot;-&quot;??_-;_-@_-"/>
    <numFmt numFmtId="169" formatCode="0.0"/>
    <numFmt numFmtId="170" formatCode="_(* #,##0_);_(* \(#,##0\);_(* &quot;-&quot;??_);_(@_)"/>
    <numFmt numFmtId="171" formatCode="0.000%"/>
    <numFmt numFmtId="172" formatCode="_-* #,##0.000000_-;\-* #,##0.000000_-;_-* &quot;-&quot;??_-;_-@_-"/>
    <numFmt numFmtId="173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165" fontId="0" fillId="0" borderId="0" xfId="1" applyNumberFormat="1" applyFont="1"/>
    <xf numFmtId="9" fontId="0" fillId="0" borderId="0" xfId="0" applyNumberFormat="1"/>
    <xf numFmtId="165" fontId="0" fillId="0" borderId="0" xfId="0" applyNumberFormat="1"/>
    <xf numFmtId="0" fontId="0" fillId="2" borderId="0" xfId="0" applyFill="1"/>
    <xf numFmtId="165" fontId="0" fillId="2" borderId="0" xfId="1" applyNumberFormat="1" applyFont="1" applyFill="1"/>
    <xf numFmtId="9" fontId="0" fillId="0" borderId="0" xfId="2" applyFont="1"/>
    <xf numFmtId="0" fontId="4" fillId="0" borderId="0" xfId="0" applyFont="1"/>
    <xf numFmtId="2" fontId="0" fillId="0" borderId="0" xfId="0" applyNumberFormat="1"/>
    <xf numFmtId="2" fontId="0" fillId="0" borderId="1" xfId="0" applyNumberFormat="1" applyBorder="1"/>
    <xf numFmtId="0" fontId="0" fillId="0" borderId="0" xfId="0" applyBorder="1"/>
    <xf numFmtId="0" fontId="4" fillId="0" borderId="0" xfId="0" applyFont="1" applyFill="1" applyBorder="1"/>
    <xf numFmtId="166" fontId="4" fillId="0" borderId="0" xfId="0" applyNumberFormat="1" applyFont="1" applyFill="1" applyBorder="1"/>
    <xf numFmtId="167" fontId="0" fillId="0" borderId="0" xfId="2" applyNumberFormat="1" applyFont="1"/>
    <xf numFmtId="10" fontId="0" fillId="0" borderId="0" xfId="2" applyNumberFormat="1" applyFont="1"/>
    <xf numFmtId="2" fontId="4" fillId="0" borderId="2" xfId="0" applyNumberFormat="1" applyFont="1" applyBorder="1"/>
    <xf numFmtId="2" fontId="4" fillId="0" borderId="2" xfId="0" applyNumberFormat="1" applyFont="1" applyFill="1" applyBorder="1"/>
    <xf numFmtId="167" fontId="4" fillId="0" borderId="0" xfId="2" applyNumberFormat="1" applyFont="1"/>
    <xf numFmtId="0" fontId="4" fillId="0" borderId="1" xfId="0" applyFont="1" applyBorder="1"/>
    <xf numFmtId="0" fontId="0" fillId="0" borderId="3" xfId="0" applyBorder="1"/>
    <xf numFmtId="0" fontId="4" fillId="0" borderId="3" xfId="0" applyFont="1" applyBorder="1"/>
    <xf numFmtId="0" fontId="0" fillId="0" borderId="4" xfId="0" applyBorder="1"/>
    <xf numFmtId="165" fontId="4" fillId="0" borderId="0" xfId="0" applyNumberFormat="1" applyFont="1"/>
    <xf numFmtId="0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65" fontId="4" fillId="0" borderId="0" xfId="1" applyNumberFormat="1" applyFont="1" applyAlignment="1">
      <alignment horizontal="center"/>
    </xf>
    <xf numFmtId="9" fontId="7" fillId="0" borderId="0" xfId="2" applyFont="1"/>
    <xf numFmtId="9" fontId="0" fillId="0" borderId="0" xfId="2" applyNumberFormat="1" applyFont="1"/>
    <xf numFmtId="3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0" fillId="0" borderId="0" xfId="0" applyFont="1"/>
    <xf numFmtId="165" fontId="1" fillId="0" borderId="0" xfId="1" applyNumberFormat="1" applyFont="1"/>
    <xf numFmtId="165" fontId="0" fillId="0" borderId="0" xfId="0" applyNumberFormat="1" applyFont="1"/>
    <xf numFmtId="0" fontId="4" fillId="0" borderId="0" xfId="0" applyFont="1" applyAlignment="1">
      <alignment horizontal="center"/>
    </xf>
    <xf numFmtId="170" fontId="0" fillId="0" borderId="0" xfId="0" applyNumberFormat="1" applyFont="1"/>
    <xf numFmtId="9" fontId="7" fillId="0" borderId="0" xfId="0" applyNumberFormat="1" applyFont="1"/>
    <xf numFmtId="165" fontId="8" fillId="0" borderId="0" xfId="1" applyNumberFormat="1" applyFont="1"/>
    <xf numFmtId="4" fontId="0" fillId="0" borderId="0" xfId="0" applyNumberFormat="1"/>
    <xf numFmtId="167" fontId="4" fillId="0" borderId="0" xfId="0" applyNumberFormat="1" applyFont="1"/>
    <xf numFmtId="4" fontId="0" fillId="3" borderId="0" xfId="0" applyNumberFormat="1" applyFill="1"/>
    <xf numFmtId="165" fontId="7" fillId="0" borderId="0" xfId="1" applyNumberFormat="1" applyFont="1"/>
    <xf numFmtId="165" fontId="7" fillId="0" borderId="0" xfId="0" applyNumberFormat="1" applyFont="1"/>
    <xf numFmtId="0" fontId="4" fillId="3" borderId="0" xfId="0" applyFont="1" applyFill="1"/>
    <xf numFmtId="167" fontId="4" fillId="3" borderId="0" xfId="2" applyNumberFormat="1" applyFont="1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171" fontId="0" fillId="0" borderId="8" xfId="2" applyNumberFormat="1" applyFont="1" applyBorder="1"/>
    <xf numFmtId="171" fontId="0" fillId="0" borderId="1" xfId="2" applyNumberFormat="1" applyFont="1" applyBorder="1"/>
    <xf numFmtId="171" fontId="4" fillId="0" borderId="4" xfId="0" applyNumberFormat="1" applyFont="1" applyBorder="1"/>
    <xf numFmtId="0" fontId="4" fillId="0" borderId="0" xfId="0" applyFont="1" applyAlignment="1">
      <alignment horizontal="center"/>
    </xf>
    <xf numFmtId="10" fontId="1" fillId="0" borderId="0" xfId="2" applyNumberFormat="1" applyFont="1"/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Border="1"/>
    <xf numFmtId="0" fontId="4" fillId="0" borderId="9" xfId="0" applyFont="1" applyBorder="1" applyAlignment="1">
      <alignment horizontal="right"/>
    </xf>
    <xf numFmtId="0" fontId="4" fillId="0" borderId="3" xfId="0" applyFont="1" applyFill="1" applyBorder="1"/>
    <xf numFmtId="0" fontId="4" fillId="0" borderId="9" xfId="0" applyFont="1" applyFill="1" applyBorder="1" applyAlignment="1">
      <alignment horizontal="right"/>
    </xf>
    <xf numFmtId="165" fontId="0" fillId="0" borderId="0" xfId="1" applyNumberFormat="1" applyFont="1" applyFill="1" applyBorder="1"/>
    <xf numFmtId="165" fontId="0" fillId="0" borderId="3" xfId="1" applyNumberFormat="1" applyFont="1" applyFill="1" applyBorder="1"/>
    <xf numFmtId="165" fontId="0" fillId="0" borderId="9" xfId="1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165" fontId="0" fillId="0" borderId="4" xfId="1" applyNumberFormat="1" applyFont="1" applyFill="1" applyBorder="1"/>
    <xf numFmtId="165" fontId="0" fillId="0" borderId="8" xfId="1" applyNumberFormat="1" applyFont="1" applyFill="1" applyBorder="1" applyAlignment="1">
      <alignment horizontal="right"/>
    </xf>
    <xf numFmtId="165" fontId="4" fillId="0" borderId="0" xfId="0" applyNumberFormat="1" applyFont="1" applyBorder="1"/>
    <xf numFmtId="165" fontId="4" fillId="0" borderId="3" xfId="0" applyNumberFormat="1" applyFont="1" applyBorder="1"/>
    <xf numFmtId="165" fontId="4" fillId="0" borderId="9" xfId="0" applyNumberFormat="1" applyFont="1" applyBorder="1" applyAlignment="1">
      <alignment horizontal="right"/>
    </xf>
    <xf numFmtId="0" fontId="0" fillId="0" borderId="0" xfId="0" applyFill="1" applyBorder="1"/>
    <xf numFmtId="168" fontId="4" fillId="0" borderId="0" xfId="1" applyNumberFormat="1" applyFont="1" applyFill="1" applyBorder="1"/>
    <xf numFmtId="168" fontId="4" fillId="0" borderId="3" xfId="0" applyNumberFormat="1" applyFont="1" applyBorder="1"/>
    <xf numFmtId="168" fontId="4" fillId="0" borderId="9" xfId="0" applyNumberFormat="1" applyFont="1" applyBorder="1" applyAlignment="1">
      <alignment horizontal="right"/>
    </xf>
    <xf numFmtId="172" fontId="4" fillId="0" borderId="0" xfId="1" applyNumberFormat="1" applyFont="1" applyFill="1" applyBorder="1"/>
    <xf numFmtId="172" fontId="4" fillId="0" borderId="3" xfId="1" applyNumberFormat="1" applyFont="1" applyFill="1" applyBorder="1"/>
    <xf numFmtId="168" fontId="4" fillId="0" borderId="3" xfId="1" applyNumberFormat="1" applyFont="1" applyFill="1" applyBorder="1"/>
    <xf numFmtId="0" fontId="0" fillId="0" borderId="9" xfId="0" applyBorder="1" applyAlignment="1">
      <alignment horizontal="right"/>
    </xf>
    <xf numFmtId="164" fontId="0" fillId="0" borderId="1" xfId="1" applyFont="1" applyBorder="1"/>
    <xf numFmtId="165" fontId="0" fillId="0" borderId="4" xfId="1" applyNumberFormat="1" applyFont="1" applyBorder="1"/>
    <xf numFmtId="165" fontId="0" fillId="0" borderId="8" xfId="1" applyNumberFormat="1" applyFont="1" applyBorder="1" applyAlignment="1">
      <alignment horizontal="right"/>
    </xf>
    <xf numFmtId="164" fontId="4" fillId="0" borderId="0" xfId="0" applyNumberFormat="1" applyFont="1" applyBorder="1"/>
    <xf numFmtId="165" fontId="4" fillId="0" borderId="3" xfId="1" applyNumberFormat="1" applyFont="1" applyBorder="1"/>
    <xf numFmtId="165" fontId="4" fillId="0" borderId="9" xfId="1" applyNumberFormat="1" applyFont="1" applyBorder="1" applyAlignment="1">
      <alignment horizontal="right"/>
    </xf>
    <xf numFmtId="168" fontId="4" fillId="0" borderId="0" xfId="0" applyNumberFormat="1" applyFont="1" applyBorder="1"/>
    <xf numFmtId="165" fontId="0" fillId="0" borderId="0" xfId="0" applyNumberFormat="1" applyBorder="1"/>
    <xf numFmtId="165" fontId="0" fillId="0" borderId="3" xfId="0" applyNumberFormat="1" applyBorder="1"/>
    <xf numFmtId="165" fontId="0" fillId="0" borderId="9" xfId="0" applyNumberFormat="1" applyBorder="1" applyAlignment="1">
      <alignment horizontal="right"/>
    </xf>
    <xf numFmtId="165" fontId="4" fillId="0" borderId="2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168" fontId="4" fillId="0" borderId="1" xfId="0" applyNumberFormat="1" applyFont="1" applyBorder="1"/>
    <xf numFmtId="168" fontId="4" fillId="0" borderId="4" xfId="0" applyNumberFormat="1" applyFont="1" applyBorder="1"/>
    <xf numFmtId="168" fontId="4" fillId="0" borderId="8" xfId="0" applyNumberFormat="1" applyFont="1" applyBorder="1" applyAlignment="1">
      <alignment horizontal="right"/>
    </xf>
    <xf numFmtId="172" fontId="4" fillId="0" borderId="1" xfId="0" applyNumberFormat="1" applyFont="1" applyBorder="1"/>
    <xf numFmtId="172" fontId="4" fillId="0" borderId="4" xfId="0" applyNumberFormat="1" applyFont="1" applyBorder="1"/>
    <xf numFmtId="172" fontId="4" fillId="0" borderId="0" xfId="0" applyNumberFormat="1" applyFont="1" applyBorder="1"/>
    <xf numFmtId="168" fontId="4" fillId="0" borderId="12" xfId="0" applyNumberFormat="1" applyFont="1" applyBorder="1" applyAlignment="1">
      <alignment horizontal="right"/>
    </xf>
    <xf numFmtId="172" fontId="4" fillId="0" borderId="3" xfId="0" applyNumberFormat="1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4" fillId="0" borderId="0" xfId="1" applyNumberFormat="1" applyFont="1" applyBorder="1"/>
    <xf numFmtId="167" fontId="4" fillId="0" borderId="1" xfId="2" applyNumberFormat="1" applyFont="1" applyBorder="1"/>
    <xf numFmtId="167" fontId="4" fillId="0" borderId="4" xfId="2" applyNumberFormat="1" applyFont="1" applyBorder="1"/>
    <xf numFmtId="0" fontId="0" fillId="0" borderId="8" xfId="0" applyBorder="1" applyAlignment="1">
      <alignment horizontal="right"/>
    </xf>
    <xf numFmtId="170" fontId="0" fillId="0" borderId="0" xfId="0" applyNumberFormat="1"/>
    <xf numFmtId="0" fontId="4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170" fontId="0" fillId="3" borderId="0" xfId="0" applyNumberFormat="1" applyFont="1" applyFill="1"/>
    <xf numFmtId="0" fontId="0" fillId="3" borderId="0" xfId="0" applyFill="1"/>
    <xf numFmtId="170" fontId="0" fillId="3" borderId="0" xfId="0" applyNumberFormat="1" applyFill="1"/>
    <xf numFmtId="170" fontId="0" fillId="3" borderId="0" xfId="1" applyNumberFormat="1" applyFont="1" applyFill="1"/>
    <xf numFmtId="173" fontId="0" fillId="0" borderId="0" xfId="1" applyNumberFormat="1" applyFont="1"/>
    <xf numFmtId="173" fontId="0" fillId="3" borderId="0" xfId="1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70" fontId="0" fillId="0" borderId="0" xfId="0" applyNumberFormat="1" applyFont="1" applyFill="1"/>
    <xf numFmtId="0" fontId="0" fillId="0" borderId="0" xfId="0" applyFill="1"/>
    <xf numFmtId="165" fontId="0" fillId="0" borderId="0" xfId="0" applyNumberFormat="1" applyFill="1"/>
    <xf numFmtId="173" fontId="0" fillId="0" borderId="0" xfId="1" applyNumberFormat="1" applyFont="1" applyFill="1"/>
    <xf numFmtId="165" fontId="0" fillId="3" borderId="0" xfId="1" applyNumberFormat="1" applyFont="1" applyFill="1"/>
    <xf numFmtId="170" fontId="0" fillId="0" borderId="0" xfId="0" applyNumberFormat="1" applyFill="1"/>
    <xf numFmtId="165" fontId="0" fillId="0" borderId="0" xfId="1" applyNumberFormat="1" applyFont="1" applyFill="1"/>
    <xf numFmtId="9" fontId="0" fillId="3" borderId="0" xfId="2" applyFont="1" applyFill="1"/>
    <xf numFmtId="165" fontId="10" fillId="0" borderId="0" xfId="1" applyNumberFormat="1" applyFont="1"/>
    <xf numFmtId="165" fontId="10" fillId="2" borderId="0" xfId="1" applyNumberFormat="1" applyFont="1" applyFill="1"/>
    <xf numFmtId="0" fontId="10" fillId="2" borderId="0" xfId="0" applyFont="1" applyFill="1"/>
    <xf numFmtId="165" fontId="11" fillId="0" borderId="0" xfId="1" applyNumberFormat="1" applyFont="1"/>
    <xf numFmtId="165" fontId="0" fillId="4" borderId="0" xfId="0" applyNumberFormat="1" applyFont="1" applyFill="1"/>
    <xf numFmtId="165" fontId="11" fillId="4" borderId="0" xfId="1" applyNumberFormat="1" applyFont="1" applyFill="1"/>
    <xf numFmtId="164" fontId="0" fillId="0" borderId="13" xfId="0" applyNumberFormat="1" applyBorder="1"/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17" xfId="0" applyBorder="1"/>
    <xf numFmtId="164" fontId="0" fillId="0" borderId="0" xfId="0" applyNumberFormat="1" applyBorder="1"/>
    <xf numFmtId="0" fontId="0" fillId="0" borderId="16" xfId="0" applyBorder="1"/>
    <xf numFmtId="0" fontId="0" fillId="0" borderId="20" xfId="0" applyBorder="1"/>
    <xf numFmtId="9" fontId="11" fillId="3" borderId="0" xfId="2" applyFont="1" applyFill="1"/>
    <xf numFmtId="165" fontId="0" fillId="3" borderId="19" xfId="1" applyNumberFormat="1" applyFont="1" applyFill="1" applyBorder="1"/>
    <xf numFmtId="0" fontId="0" fillId="0" borderId="18" xfId="0" applyBorder="1"/>
    <xf numFmtId="164" fontId="0" fillId="3" borderId="0" xfId="1" applyFont="1" applyFill="1" applyBorder="1"/>
    <xf numFmtId="3" fontId="11" fillId="0" borderId="0" xfId="0" applyNumberFormat="1" applyFont="1"/>
    <xf numFmtId="0" fontId="11" fillId="0" borderId="0" xfId="0" applyFont="1"/>
    <xf numFmtId="9" fontId="11" fillId="0" borderId="0" xfId="2" applyFont="1"/>
    <xf numFmtId="164" fontId="0" fillId="0" borderId="0" xfId="1" applyNumberFormat="1" applyFont="1"/>
    <xf numFmtId="164" fontId="0" fillId="0" borderId="0" xfId="0" applyNumberFormat="1"/>
    <xf numFmtId="164" fontId="4" fillId="0" borderId="0" xfId="0" applyNumberFormat="1" applyFont="1"/>
    <xf numFmtId="165" fontId="12" fillId="0" borderId="0" xfId="1" applyNumberFormat="1" applyFont="1"/>
    <xf numFmtId="165" fontId="12" fillId="0" borderId="0" xfId="1" applyNumberFormat="1" applyFont="1" applyFill="1"/>
    <xf numFmtId="170" fontId="12" fillId="3" borderId="0" xfId="0" applyNumberFormat="1" applyFont="1" applyFill="1"/>
    <xf numFmtId="0" fontId="0" fillId="0" borderId="13" xfId="0" applyNumberFormat="1" applyBorder="1"/>
    <xf numFmtId="170" fontId="0" fillId="0" borderId="14" xfId="0" applyNumberFormat="1" applyBorder="1"/>
    <xf numFmtId="164" fontId="0" fillId="0" borderId="14" xfId="1" applyFont="1" applyBorder="1"/>
    <xf numFmtId="164" fontId="0" fillId="0" borderId="15" xfId="0" applyNumberFormat="1" applyBorder="1"/>
    <xf numFmtId="0" fontId="0" fillId="0" borderId="16" xfId="0" applyNumberFormat="1" applyBorder="1"/>
    <xf numFmtId="170" fontId="0" fillId="0" borderId="0" xfId="0" applyNumberFormat="1" applyBorder="1"/>
    <xf numFmtId="164" fontId="0" fillId="0" borderId="0" xfId="1" applyFont="1" applyBorder="1"/>
    <xf numFmtId="164" fontId="0" fillId="0" borderId="17" xfId="0" applyNumberFormat="1" applyBorder="1"/>
    <xf numFmtId="0" fontId="0" fillId="0" borderId="18" xfId="1" applyNumberFormat="1" applyFont="1" applyBorder="1"/>
    <xf numFmtId="170" fontId="0" fillId="0" borderId="19" xfId="0" applyNumberFormat="1" applyBorder="1"/>
    <xf numFmtId="164" fontId="0" fillId="0" borderId="19" xfId="1" applyFont="1" applyBorder="1"/>
    <xf numFmtId="164" fontId="0" fillId="0" borderId="20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3" fontId="0" fillId="0" borderId="0" xfId="1" applyNumberFormat="1" applyFont="1"/>
    <xf numFmtId="170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28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27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D7" sqref="D7"/>
    </sheetView>
  </sheetViews>
  <sheetFormatPr defaultRowHeight="15" x14ac:dyDescent="0.25"/>
  <cols>
    <col min="1" max="1" width="46.7109375" bestFit="1" customWidth="1"/>
    <col min="2" max="2" width="11.85546875" bestFit="1" customWidth="1"/>
    <col min="3" max="3" width="4.5703125" style="108" bestFit="1" customWidth="1"/>
    <col min="4" max="5" width="10.85546875" customWidth="1"/>
    <col min="6" max="6" width="7" style="109" customWidth="1"/>
    <col min="7" max="8" width="13.140625" customWidth="1"/>
    <col min="9" max="9" width="11.42578125" customWidth="1"/>
    <col min="10" max="10" width="4.5703125" style="108" bestFit="1" customWidth="1"/>
    <col min="11" max="12" width="11.5703125" customWidth="1"/>
    <col min="13" max="13" width="7" style="109" customWidth="1"/>
    <col min="14" max="15" width="14.5703125" customWidth="1"/>
  </cols>
  <sheetData>
    <row r="1" spans="1:15" x14ac:dyDescent="0.25">
      <c r="A1" s="173" t="s">
        <v>53</v>
      </c>
      <c r="B1" s="173"/>
      <c r="C1" s="174" t="s">
        <v>54</v>
      </c>
      <c r="D1" s="174"/>
      <c r="E1" s="174"/>
      <c r="F1" s="174"/>
      <c r="G1" s="174"/>
      <c r="H1" s="174"/>
      <c r="I1" s="57"/>
      <c r="J1" s="175" t="s">
        <v>55</v>
      </c>
      <c r="K1" s="175"/>
      <c r="L1" s="175"/>
      <c r="M1" s="175"/>
      <c r="N1" s="175"/>
      <c r="O1" s="175"/>
    </row>
    <row r="2" spans="1:15" ht="15" customHeight="1" x14ac:dyDescent="0.25">
      <c r="A2" s="57"/>
      <c r="B2" s="57"/>
      <c r="C2" s="176" t="s">
        <v>56</v>
      </c>
      <c r="D2" s="177"/>
      <c r="E2" s="178"/>
      <c r="F2" s="176" t="s">
        <v>57</v>
      </c>
      <c r="G2" s="177"/>
      <c r="H2" s="178"/>
      <c r="I2" s="58"/>
      <c r="J2" s="176" t="s">
        <v>58</v>
      </c>
      <c r="K2" s="177"/>
      <c r="L2" s="178"/>
      <c r="M2" s="176" t="s">
        <v>59</v>
      </c>
      <c r="N2" s="177"/>
      <c r="O2" s="178"/>
    </row>
    <row r="3" spans="1:15" x14ac:dyDescent="0.25">
      <c r="A3" s="59" t="s">
        <v>60</v>
      </c>
      <c r="B3" s="57"/>
      <c r="C3" s="179"/>
      <c r="D3" s="180"/>
      <c r="E3" s="181"/>
      <c r="F3" s="179"/>
      <c r="G3" s="180"/>
      <c r="H3" s="181"/>
      <c r="I3" s="58"/>
      <c r="J3" s="182"/>
      <c r="K3" s="183"/>
      <c r="L3" s="184"/>
      <c r="M3" s="182"/>
      <c r="N3" s="183"/>
      <c r="O3" s="184"/>
    </row>
    <row r="4" spans="1:15" x14ac:dyDescent="0.25">
      <c r="A4" s="60"/>
      <c r="B4" s="18" t="s">
        <v>61</v>
      </c>
      <c r="C4" s="61"/>
      <c r="D4" s="62">
        <v>2011</v>
      </c>
      <c r="E4" s="63">
        <v>2012</v>
      </c>
      <c r="F4" s="64"/>
      <c r="G4" s="62">
        <v>2011</v>
      </c>
      <c r="H4" s="63">
        <v>2012</v>
      </c>
      <c r="I4" s="62"/>
      <c r="J4" s="61"/>
      <c r="K4" s="62">
        <v>2011</v>
      </c>
      <c r="L4" s="63">
        <v>2012</v>
      </c>
      <c r="M4" s="64"/>
      <c r="N4" s="62">
        <v>2011</v>
      </c>
      <c r="O4" s="63">
        <v>2012</v>
      </c>
    </row>
    <row r="5" spans="1:15" x14ac:dyDescent="0.25">
      <c r="A5" s="20" t="s">
        <v>62</v>
      </c>
      <c r="B5" s="65"/>
      <c r="C5" s="66"/>
      <c r="D5" s="11"/>
      <c r="E5" s="67"/>
      <c r="F5" s="68"/>
      <c r="G5" s="11"/>
      <c r="H5" s="67"/>
      <c r="I5" s="11"/>
      <c r="J5" s="66"/>
      <c r="K5" s="11"/>
      <c r="L5" s="67"/>
      <c r="M5" s="68"/>
      <c r="N5" s="11"/>
      <c r="O5" s="67"/>
    </row>
    <row r="6" spans="1:15" x14ac:dyDescent="0.25">
      <c r="A6" s="19" t="s">
        <v>63</v>
      </c>
      <c r="B6" s="10" t="s">
        <v>64</v>
      </c>
      <c r="C6" s="66"/>
      <c r="D6" s="69">
        <v>246</v>
      </c>
      <c r="E6" s="70">
        <v>146</v>
      </c>
      <c r="F6" s="71"/>
      <c r="G6" s="69">
        <v>1754416</v>
      </c>
      <c r="H6" s="70">
        <v>1040845</v>
      </c>
      <c r="I6" s="69"/>
      <c r="J6" s="66"/>
      <c r="K6" s="69">
        <v>238</v>
      </c>
      <c r="L6" s="70">
        <v>384</v>
      </c>
      <c r="M6" s="71"/>
      <c r="N6" s="69">
        <v>7010492</v>
      </c>
      <c r="O6" s="70">
        <v>10133028</v>
      </c>
    </row>
    <row r="7" spans="1:15" x14ac:dyDescent="0.25">
      <c r="A7" s="19" t="s">
        <v>65</v>
      </c>
      <c r="B7" s="10" t="s">
        <v>64</v>
      </c>
      <c r="C7" s="66"/>
      <c r="D7" s="69">
        <v>19</v>
      </c>
      <c r="E7" s="70">
        <v>25</v>
      </c>
      <c r="F7" s="71"/>
      <c r="G7" s="69">
        <v>22795</v>
      </c>
      <c r="H7" s="70">
        <v>43987</v>
      </c>
      <c r="I7" s="69"/>
      <c r="J7" s="66"/>
      <c r="K7" s="69">
        <v>7</v>
      </c>
      <c r="L7" s="70">
        <v>32</v>
      </c>
      <c r="M7" s="71"/>
      <c r="N7" s="69">
        <v>80841</v>
      </c>
      <c r="O7" s="70">
        <v>212803</v>
      </c>
    </row>
    <row r="8" spans="1:15" x14ac:dyDescent="0.25">
      <c r="A8" s="19" t="s">
        <v>66</v>
      </c>
      <c r="B8" s="10" t="s">
        <v>67</v>
      </c>
      <c r="C8" s="66"/>
      <c r="D8" s="69">
        <v>2880</v>
      </c>
      <c r="E8" s="70">
        <v>1606</v>
      </c>
      <c r="F8" s="71"/>
      <c r="G8" s="69">
        <v>5465411</v>
      </c>
      <c r="H8" s="70">
        <v>2835583</v>
      </c>
      <c r="I8" s="69"/>
      <c r="J8" s="66"/>
      <c r="K8" s="69">
        <v>2880</v>
      </c>
      <c r="L8" s="70">
        <v>4486</v>
      </c>
      <c r="M8" s="71"/>
      <c r="N8" s="69">
        <v>21861643</v>
      </c>
      <c r="O8" s="70">
        <v>30368391</v>
      </c>
    </row>
    <row r="9" spans="1:15" x14ac:dyDescent="0.25">
      <c r="A9" s="19" t="s">
        <v>68</v>
      </c>
      <c r="B9" s="10" t="s">
        <v>69</v>
      </c>
      <c r="C9" s="66"/>
      <c r="D9" s="69">
        <v>69</v>
      </c>
      <c r="E9" s="70">
        <v>13</v>
      </c>
      <c r="F9" s="71"/>
      <c r="G9" s="69">
        <v>1104610</v>
      </c>
      <c r="H9" s="70">
        <v>78235</v>
      </c>
      <c r="I9" s="69"/>
      <c r="J9" s="66"/>
      <c r="K9" s="69">
        <v>69</v>
      </c>
      <c r="L9" s="70">
        <v>82</v>
      </c>
      <c r="M9" s="71"/>
      <c r="N9" s="69">
        <v>4418442</v>
      </c>
      <c r="O9" s="70">
        <v>4653146</v>
      </c>
    </row>
    <row r="10" spans="1:15" x14ac:dyDescent="0.25">
      <c r="A10" s="19" t="s">
        <v>70</v>
      </c>
      <c r="B10" s="10" t="s">
        <v>69</v>
      </c>
      <c r="C10" s="66"/>
      <c r="D10" s="69">
        <v>94</v>
      </c>
      <c r="E10" s="70">
        <v>83</v>
      </c>
      <c r="F10" s="71"/>
      <c r="G10" s="69">
        <v>1644342</v>
      </c>
      <c r="H10" s="70">
        <v>1498537</v>
      </c>
      <c r="I10" s="69"/>
      <c r="J10" s="66"/>
      <c r="K10" s="69">
        <v>94</v>
      </c>
      <c r="L10" s="70">
        <v>177</v>
      </c>
      <c r="M10" s="71"/>
      <c r="N10" s="69">
        <v>6577366</v>
      </c>
      <c r="O10" s="70">
        <v>11072979</v>
      </c>
    </row>
    <row r="11" spans="1:15" x14ac:dyDescent="0.25">
      <c r="A11" s="19" t="s">
        <v>71</v>
      </c>
      <c r="B11" s="10" t="s">
        <v>72</v>
      </c>
      <c r="C11" s="66"/>
      <c r="D11" s="69">
        <v>3193</v>
      </c>
      <c r="E11" s="70">
        <v>7249</v>
      </c>
      <c r="F11" s="71"/>
      <c r="G11" s="69">
        <v>8266</v>
      </c>
      <c r="H11" s="70">
        <v>55891</v>
      </c>
      <c r="I11" s="69"/>
      <c r="J11" s="66"/>
      <c r="K11" s="10"/>
      <c r="L11" s="70">
        <v>0</v>
      </c>
      <c r="M11" s="71"/>
      <c r="N11" s="69">
        <v>8266</v>
      </c>
      <c r="O11" s="70">
        <v>64158</v>
      </c>
    </row>
    <row r="12" spans="1:15" x14ac:dyDescent="0.25">
      <c r="A12" s="19" t="s">
        <v>73</v>
      </c>
      <c r="B12" s="10" t="s">
        <v>74</v>
      </c>
      <c r="C12" s="66"/>
      <c r="D12" s="72">
        <v>0</v>
      </c>
      <c r="E12" s="73">
        <v>0</v>
      </c>
      <c r="F12" s="74"/>
      <c r="G12" s="72">
        <v>0</v>
      </c>
      <c r="H12" s="73">
        <v>0</v>
      </c>
      <c r="I12" s="69"/>
      <c r="J12" s="66"/>
      <c r="K12" s="72">
        <v>0</v>
      </c>
      <c r="L12" s="73">
        <v>0</v>
      </c>
      <c r="M12" s="74"/>
      <c r="N12" s="72">
        <v>0</v>
      </c>
      <c r="O12" s="73">
        <v>0</v>
      </c>
    </row>
    <row r="13" spans="1:15" x14ac:dyDescent="0.25">
      <c r="A13" s="19"/>
      <c r="B13" s="10"/>
      <c r="C13" s="66"/>
      <c r="D13" s="75">
        <f t="shared" ref="D13:N13" si="0">SUM(D6:D12)</f>
        <v>6501</v>
      </c>
      <c r="E13" s="76">
        <f t="shared" si="0"/>
        <v>9122</v>
      </c>
      <c r="F13" s="77"/>
      <c r="G13" s="75">
        <f t="shared" si="0"/>
        <v>9999840</v>
      </c>
      <c r="H13" s="76">
        <f t="shared" si="0"/>
        <v>5553078</v>
      </c>
      <c r="I13" s="75"/>
      <c r="J13" s="66"/>
      <c r="K13" s="75">
        <f t="shared" si="0"/>
        <v>3288</v>
      </c>
      <c r="L13" s="76">
        <f t="shared" si="0"/>
        <v>5161</v>
      </c>
      <c r="M13" s="77"/>
      <c r="N13" s="75">
        <f t="shared" si="0"/>
        <v>39957050</v>
      </c>
      <c r="O13" s="76">
        <f>SUM(O6:O12)</f>
        <v>56504505</v>
      </c>
    </row>
    <row r="14" spans="1:15" x14ac:dyDescent="0.25">
      <c r="A14" s="19"/>
      <c r="B14" s="78" t="s">
        <v>75</v>
      </c>
      <c r="C14" s="68" t="s">
        <v>75</v>
      </c>
      <c r="D14" s="79">
        <v>6.5010000000000003</v>
      </c>
      <c r="E14" s="80">
        <v>9.1219999999999999</v>
      </c>
      <c r="F14" s="81" t="s">
        <v>1</v>
      </c>
      <c r="G14" s="82">
        <v>9.9998400000000007</v>
      </c>
      <c r="H14" s="83">
        <v>5.5530790000000003</v>
      </c>
      <c r="I14" s="82"/>
      <c r="J14" s="68" t="s">
        <v>75</v>
      </c>
      <c r="K14" s="79">
        <v>3.2879999999999998</v>
      </c>
      <c r="L14" s="84">
        <v>5.1609999999999996</v>
      </c>
      <c r="M14" s="81" t="s">
        <v>1</v>
      </c>
      <c r="N14" s="82">
        <v>39.957050000000002</v>
      </c>
      <c r="O14" s="83">
        <v>56.504505000000002</v>
      </c>
    </row>
    <row r="15" spans="1:15" x14ac:dyDescent="0.25">
      <c r="A15" s="20" t="s">
        <v>76</v>
      </c>
      <c r="B15" s="10"/>
      <c r="C15" s="66"/>
      <c r="D15" s="10"/>
      <c r="E15" s="19"/>
      <c r="F15" s="85"/>
      <c r="G15" s="10"/>
      <c r="H15" s="19"/>
      <c r="I15" s="10"/>
      <c r="J15" s="66"/>
      <c r="K15" s="10"/>
      <c r="L15" s="19"/>
      <c r="M15" s="85"/>
      <c r="N15" s="10"/>
      <c r="O15" s="19"/>
    </row>
    <row r="16" spans="1:15" x14ac:dyDescent="0.25">
      <c r="A16" s="19" t="s">
        <v>77</v>
      </c>
      <c r="B16" s="10" t="s">
        <v>78</v>
      </c>
      <c r="C16" s="66"/>
      <c r="D16" s="69">
        <v>2832</v>
      </c>
      <c r="E16" s="70">
        <v>5116</v>
      </c>
      <c r="F16" s="71"/>
      <c r="G16" s="69">
        <v>14868304</v>
      </c>
      <c r="H16" s="70">
        <v>22549482</v>
      </c>
      <c r="I16" s="69"/>
      <c r="J16" s="66"/>
      <c r="K16" s="69">
        <v>2832</v>
      </c>
      <c r="L16" s="70">
        <v>7769</v>
      </c>
      <c r="M16" s="71"/>
      <c r="N16" s="69">
        <v>59473216</v>
      </c>
      <c r="O16" s="70">
        <v>126368494</v>
      </c>
    </row>
    <row r="17" spans="1:15" x14ac:dyDescent="0.25">
      <c r="A17" s="19" t="s">
        <v>79</v>
      </c>
      <c r="B17" s="10" t="s">
        <v>78</v>
      </c>
      <c r="C17" s="66"/>
      <c r="D17" s="69">
        <v>1416</v>
      </c>
      <c r="E17" s="70">
        <v>843</v>
      </c>
      <c r="F17" s="71"/>
      <c r="G17" s="69">
        <v>3870853</v>
      </c>
      <c r="H17" s="70">
        <v>3365166</v>
      </c>
      <c r="I17" s="69"/>
      <c r="J17" s="66"/>
      <c r="K17" s="69">
        <v>794</v>
      </c>
      <c r="L17" s="70">
        <v>1623</v>
      </c>
      <c r="M17" s="71"/>
      <c r="N17" s="69">
        <v>13610956</v>
      </c>
      <c r="O17" s="70">
        <v>23651949</v>
      </c>
    </row>
    <row r="18" spans="1:15" x14ac:dyDescent="0.25">
      <c r="A18" s="19" t="s">
        <v>80</v>
      </c>
      <c r="B18" s="10" t="s">
        <v>81</v>
      </c>
      <c r="C18" s="66"/>
      <c r="D18" s="69">
        <v>0</v>
      </c>
      <c r="E18" s="70">
        <v>0</v>
      </c>
      <c r="F18" s="71"/>
      <c r="G18" s="69">
        <v>0</v>
      </c>
      <c r="H18" s="70">
        <v>0</v>
      </c>
      <c r="I18" s="69"/>
      <c r="J18" s="66"/>
      <c r="K18" s="69">
        <v>0</v>
      </c>
      <c r="L18" s="70">
        <v>0</v>
      </c>
      <c r="M18" s="71"/>
      <c r="N18" s="69">
        <v>0</v>
      </c>
      <c r="O18" s="70">
        <v>0</v>
      </c>
    </row>
    <row r="19" spans="1:15" x14ac:dyDescent="0.25">
      <c r="A19" s="19" t="s">
        <v>82</v>
      </c>
      <c r="B19" s="10" t="s">
        <v>81</v>
      </c>
      <c r="C19" s="66"/>
      <c r="D19" s="69">
        <v>0</v>
      </c>
      <c r="E19" s="70">
        <v>14</v>
      </c>
      <c r="F19" s="71"/>
      <c r="G19" s="69">
        <v>0</v>
      </c>
      <c r="H19" s="70">
        <v>16176</v>
      </c>
      <c r="I19" s="69"/>
      <c r="J19" s="66"/>
      <c r="K19" s="69">
        <v>0</v>
      </c>
      <c r="L19" s="70">
        <v>14</v>
      </c>
      <c r="M19" s="71"/>
      <c r="N19" s="69">
        <v>0</v>
      </c>
      <c r="O19" s="70">
        <v>48528</v>
      </c>
    </row>
    <row r="20" spans="1:15" x14ac:dyDescent="0.25">
      <c r="A20" s="19" t="s">
        <v>83</v>
      </c>
      <c r="B20" s="10" t="s">
        <v>84</v>
      </c>
      <c r="C20" s="66"/>
      <c r="D20" s="69">
        <v>0</v>
      </c>
      <c r="E20" s="70">
        <v>124</v>
      </c>
      <c r="F20" s="71"/>
      <c r="G20" s="69">
        <v>0</v>
      </c>
      <c r="H20" s="70">
        <v>604230</v>
      </c>
      <c r="I20" s="69"/>
      <c r="J20" s="66"/>
      <c r="K20" s="69">
        <v>0</v>
      </c>
      <c r="L20" s="70">
        <v>124</v>
      </c>
      <c r="M20" s="71"/>
      <c r="N20" s="69">
        <v>0</v>
      </c>
      <c r="O20" s="70">
        <v>1812690</v>
      </c>
    </row>
    <row r="21" spans="1:15" x14ac:dyDescent="0.25">
      <c r="A21" s="19" t="s">
        <v>85</v>
      </c>
      <c r="B21" s="10" t="s">
        <v>72</v>
      </c>
      <c r="C21" s="66"/>
      <c r="D21" s="69">
        <v>4</v>
      </c>
      <c r="E21" s="70">
        <v>21</v>
      </c>
      <c r="F21" s="71"/>
      <c r="G21" s="69">
        <v>16</v>
      </c>
      <c r="H21" s="70">
        <v>120</v>
      </c>
      <c r="I21" s="69"/>
      <c r="J21" s="66"/>
      <c r="K21" s="10"/>
      <c r="L21" s="70">
        <v>0</v>
      </c>
      <c r="M21" s="71"/>
      <c r="N21" s="69">
        <v>16</v>
      </c>
      <c r="O21" s="70">
        <v>137</v>
      </c>
    </row>
    <row r="22" spans="1:15" x14ac:dyDescent="0.25">
      <c r="A22" s="19" t="s">
        <v>86</v>
      </c>
      <c r="B22" s="10" t="s">
        <v>87</v>
      </c>
      <c r="C22" s="66"/>
      <c r="D22" s="72">
        <v>597</v>
      </c>
      <c r="E22" s="73">
        <v>644</v>
      </c>
      <c r="F22" s="74"/>
      <c r="G22" s="72">
        <v>23305</v>
      </c>
      <c r="H22" s="73">
        <v>9354</v>
      </c>
      <c r="I22" s="69"/>
      <c r="J22" s="66"/>
      <c r="K22" s="72">
        <v>0</v>
      </c>
      <c r="L22" s="73">
        <v>0</v>
      </c>
      <c r="M22" s="74"/>
      <c r="N22" s="72">
        <v>23305</v>
      </c>
      <c r="O22" s="73">
        <v>32660</v>
      </c>
    </row>
    <row r="23" spans="1:15" x14ac:dyDescent="0.25">
      <c r="A23" s="19"/>
      <c r="B23" s="10"/>
      <c r="C23" s="66"/>
      <c r="D23" s="75">
        <f t="shared" ref="D23:O23" si="1">SUM(D16:D22)</f>
        <v>4849</v>
      </c>
      <c r="E23" s="76">
        <f t="shared" si="1"/>
        <v>6762</v>
      </c>
      <c r="F23" s="77"/>
      <c r="G23" s="75">
        <f t="shared" si="1"/>
        <v>18762478</v>
      </c>
      <c r="H23" s="76">
        <f t="shared" si="1"/>
        <v>26544528</v>
      </c>
      <c r="I23" s="75"/>
      <c r="J23" s="66"/>
      <c r="K23" s="75">
        <f t="shared" si="1"/>
        <v>3626</v>
      </c>
      <c r="L23" s="76">
        <f t="shared" si="1"/>
        <v>9530</v>
      </c>
      <c r="M23" s="77"/>
      <c r="N23" s="75">
        <f t="shared" si="1"/>
        <v>73107493</v>
      </c>
      <c r="O23" s="76">
        <f t="shared" si="1"/>
        <v>151914458</v>
      </c>
    </row>
    <row r="24" spans="1:15" x14ac:dyDescent="0.25">
      <c r="A24" s="19"/>
      <c r="B24" s="10"/>
      <c r="C24" s="68" t="s">
        <v>75</v>
      </c>
      <c r="D24" s="79">
        <v>4.8490000000000002</v>
      </c>
      <c r="E24" s="80">
        <v>6.7619999999999996</v>
      </c>
      <c r="F24" s="81" t="s">
        <v>1</v>
      </c>
      <c r="G24" s="82">
        <v>18.762478000000002</v>
      </c>
      <c r="H24" s="83">
        <v>26.544549</v>
      </c>
      <c r="I24" s="82"/>
      <c r="J24" s="68" t="s">
        <v>75</v>
      </c>
      <c r="K24" s="79">
        <v>3.6259999999999999</v>
      </c>
      <c r="L24" s="84">
        <v>9.5299999999999994</v>
      </c>
      <c r="M24" s="81" t="s">
        <v>1</v>
      </c>
      <c r="N24" s="82">
        <v>73.107493000000005</v>
      </c>
      <c r="O24" s="83">
        <v>151.914457</v>
      </c>
    </row>
    <row r="25" spans="1:15" x14ac:dyDescent="0.25">
      <c r="A25" s="20" t="s">
        <v>88</v>
      </c>
      <c r="B25" s="10"/>
      <c r="C25" s="66"/>
      <c r="D25" s="10"/>
      <c r="E25" s="19"/>
      <c r="F25" s="85"/>
      <c r="G25" s="10"/>
      <c r="H25" s="19"/>
      <c r="I25" s="10"/>
      <c r="J25" s="66"/>
      <c r="K25" s="10"/>
      <c r="L25" s="19"/>
      <c r="M25" s="85"/>
      <c r="N25" s="10"/>
      <c r="O25" s="19"/>
    </row>
    <row r="26" spans="1:15" x14ac:dyDescent="0.25">
      <c r="A26" s="19" t="s">
        <v>89</v>
      </c>
      <c r="B26" s="10" t="s">
        <v>78</v>
      </c>
      <c r="C26" s="66"/>
      <c r="D26" s="69">
        <v>0</v>
      </c>
      <c r="E26" s="70">
        <v>0</v>
      </c>
      <c r="F26" s="71"/>
      <c r="G26" s="69">
        <v>0</v>
      </c>
      <c r="H26" s="70">
        <v>0</v>
      </c>
      <c r="I26" s="69"/>
      <c r="J26" s="66"/>
      <c r="K26" s="69">
        <v>0</v>
      </c>
      <c r="L26" s="70">
        <v>0</v>
      </c>
      <c r="M26" s="71"/>
      <c r="N26" s="69">
        <v>0</v>
      </c>
      <c r="O26" s="70">
        <v>0</v>
      </c>
    </row>
    <row r="27" spans="1:15" x14ac:dyDescent="0.25">
      <c r="A27" s="19" t="s">
        <v>90</v>
      </c>
      <c r="B27" s="10"/>
      <c r="C27" s="66"/>
      <c r="D27" s="69">
        <v>0</v>
      </c>
      <c r="E27" s="70">
        <v>0</v>
      </c>
      <c r="F27" s="71"/>
      <c r="G27" s="69">
        <v>0</v>
      </c>
      <c r="H27" s="70">
        <v>0</v>
      </c>
      <c r="I27" s="69"/>
      <c r="J27" s="66"/>
      <c r="K27" s="69">
        <v>0</v>
      </c>
      <c r="L27" s="70">
        <v>0</v>
      </c>
      <c r="M27" s="71"/>
      <c r="N27" s="69">
        <v>0</v>
      </c>
      <c r="O27" s="70">
        <v>0</v>
      </c>
    </row>
    <row r="28" spans="1:15" x14ac:dyDescent="0.25">
      <c r="A28" s="19" t="s">
        <v>91</v>
      </c>
      <c r="B28" s="10"/>
      <c r="C28" s="66"/>
      <c r="D28" s="69">
        <v>0</v>
      </c>
      <c r="E28" s="70">
        <v>0</v>
      </c>
      <c r="F28" s="71"/>
      <c r="G28" s="69">
        <v>0</v>
      </c>
      <c r="H28" s="70">
        <v>0</v>
      </c>
      <c r="I28" s="69"/>
      <c r="J28" s="66"/>
      <c r="K28" s="69">
        <v>0</v>
      </c>
      <c r="L28" s="70">
        <v>0</v>
      </c>
      <c r="M28" s="71"/>
      <c r="N28" s="69">
        <v>0</v>
      </c>
      <c r="O28" s="70">
        <v>0</v>
      </c>
    </row>
    <row r="29" spans="1:15" x14ac:dyDescent="0.25">
      <c r="A29" s="19" t="s">
        <v>92</v>
      </c>
      <c r="B29" s="10"/>
      <c r="C29" s="66"/>
      <c r="D29" s="69">
        <v>0</v>
      </c>
      <c r="E29" s="70">
        <v>0</v>
      </c>
      <c r="F29" s="71"/>
      <c r="G29" s="69">
        <v>0</v>
      </c>
      <c r="H29" s="70">
        <v>0</v>
      </c>
      <c r="I29" s="69"/>
      <c r="J29" s="66"/>
      <c r="K29" s="69">
        <v>0</v>
      </c>
      <c r="L29" s="70">
        <v>0</v>
      </c>
      <c r="M29" s="71"/>
      <c r="N29" s="69">
        <v>0</v>
      </c>
      <c r="O29" s="70">
        <v>0</v>
      </c>
    </row>
    <row r="30" spans="1:15" x14ac:dyDescent="0.25">
      <c r="A30" s="19" t="s">
        <v>93</v>
      </c>
      <c r="B30" s="10" t="s">
        <v>78</v>
      </c>
      <c r="C30" s="66"/>
      <c r="D30" s="69">
        <v>0</v>
      </c>
      <c r="E30" s="70">
        <v>0</v>
      </c>
      <c r="F30" s="71"/>
      <c r="G30" s="69">
        <v>0</v>
      </c>
      <c r="H30" s="70">
        <v>0</v>
      </c>
      <c r="I30" s="69"/>
      <c r="J30" s="66"/>
      <c r="K30" s="69">
        <v>0</v>
      </c>
      <c r="L30" s="70">
        <v>0</v>
      </c>
      <c r="M30" s="71"/>
      <c r="N30" s="69">
        <v>0</v>
      </c>
      <c r="O30" s="70">
        <v>0</v>
      </c>
    </row>
    <row r="31" spans="1:15" x14ac:dyDescent="0.25">
      <c r="A31" s="19" t="s">
        <v>94</v>
      </c>
      <c r="B31" s="10" t="s">
        <v>95</v>
      </c>
      <c r="C31" s="66"/>
      <c r="D31" s="69"/>
      <c r="E31" s="70">
        <v>0</v>
      </c>
      <c r="F31" s="71"/>
      <c r="G31" s="10"/>
      <c r="H31" s="19"/>
      <c r="I31" s="10"/>
      <c r="J31" s="66"/>
      <c r="K31" s="69">
        <v>0</v>
      </c>
      <c r="L31" s="70">
        <v>0</v>
      </c>
      <c r="M31" s="71"/>
      <c r="N31" s="10"/>
      <c r="O31" s="70">
        <v>0</v>
      </c>
    </row>
    <row r="32" spans="1:15" x14ac:dyDescent="0.25">
      <c r="A32" s="19" t="s">
        <v>96</v>
      </c>
      <c r="B32" s="10"/>
      <c r="C32" s="66"/>
      <c r="D32" s="69"/>
      <c r="E32" s="70"/>
      <c r="F32" s="71"/>
      <c r="G32" s="10"/>
      <c r="H32" s="19"/>
      <c r="I32" s="10"/>
      <c r="J32" s="66"/>
      <c r="K32" s="69"/>
      <c r="L32" s="70"/>
      <c r="M32" s="71"/>
      <c r="N32" s="10"/>
      <c r="O32" s="70"/>
    </row>
    <row r="33" spans="1:15" x14ac:dyDescent="0.25">
      <c r="A33" s="19" t="s">
        <v>97</v>
      </c>
      <c r="B33" s="10" t="s">
        <v>78</v>
      </c>
      <c r="C33" s="66"/>
      <c r="D33" s="69">
        <v>81</v>
      </c>
      <c r="E33" s="70"/>
      <c r="F33" s="71"/>
      <c r="G33" s="69">
        <v>533952</v>
      </c>
      <c r="H33" s="70"/>
      <c r="I33" s="69"/>
      <c r="J33" s="66"/>
      <c r="K33" s="69">
        <v>81</v>
      </c>
      <c r="L33" s="70">
        <v>81</v>
      </c>
      <c r="M33" s="71"/>
      <c r="N33" s="69">
        <v>2135807</v>
      </c>
      <c r="O33" s="70">
        <v>2135807</v>
      </c>
    </row>
    <row r="34" spans="1:15" x14ac:dyDescent="0.25">
      <c r="A34" s="19" t="s">
        <v>86</v>
      </c>
      <c r="B34" s="10" t="s">
        <v>87</v>
      </c>
      <c r="C34" s="66"/>
      <c r="D34" s="72">
        <v>0</v>
      </c>
      <c r="E34" s="73">
        <v>42</v>
      </c>
      <c r="F34" s="74"/>
      <c r="G34" s="72">
        <v>0</v>
      </c>
      <c r="H34" s="73">
        <v>1010</v>
      </c>
      <c r="I34" s="69"/>
      <c r="J34" s="66"/>
      <c r="K34" s="72">
        <v>0</v>
      </c>
      <c r="L34" s="73">
        <v>0</v>
      </c>
      <c r="M34" s="74"/>
      <c r="N34" s="72">
        <v>0</v>
      </c>
      <c r="O34" s="73">
        <v>1010</v>
      </c>
    </row>
    <row r="35" spans="1:15" x14ac:dyDescent="0.25">
      <c r="A35" s="19"/>
      <c r="B35" s="10"/>
      <c r="C35" s="66"/>
      <c r="D35" s="75">
        <f t="shared" ref="D35:O35" si="2">SUM(D26:D34)</f>
        <v>81</v>
      </c>
      <c r="E35" s="76">
        <f t="shared" si="2"/>
        <v>42</v>
      </c>
      <c r="F35" s="77"/>
      <c r="G35" s="75">
        <f t="shared" si="2"/>
        <v>533952</v>
      </c>
      <c r="H35" s="76">
        <f t="shared" si="2"/>
        <v>1010</v>
      </c>
      <c r="I35" s="75"/>
      <c r="J35" s="66"/>
      <c r="K35" s="75">
        <f t="shared" si="2"/>
        <v>81</v>
      </c>
      <c r="L35" s="76">
        <f t="shared" si="2"/>
        <v>81</v>
      </c>
      <c r="M35" s="77"/>
      <c r="N35" s="75">
        <f t="shared" si="2"/>
        <v>2135807</v>
      </c>
      <c r="O35" s="76">
        <f t="shared" si="2"/>
        <v>2136817</v>
      </c>
    </row>
    <row r="36" spans="1:15" x14ac:dyDescent="0.25">
      <c r="A36" s="19"/>
      <c r="B36" s="10"/>
      <c r="C36" s="68" t="s">
        <v>75</v>
      </c>
      <c r="D36" s="79">
        <v>8.1000000000000003E-2</v>
      </c>
      <c r="E36" s="80">
        <v>4.2000000000000003E-2</v>
      </c>
      <c r="F36" s="81" t="s">
        <v>1</v>
      </c>
      <c r="G36" s="82">
        <v>0.53395199999999998</v>
      </c>
      <c r="H36" s="83">
        <v>1.01E-3</v>
      </c>
      <c r="I36" s="82"/>
      <c r="J36" s="68" t="s">
        <v>75</v>
      </c>
      <c r="K36" s="79">
        <v>8.1000000000000003E-2</v>
      </c>
      <c r="L36" s="84">
        <v>8.1000000000000003E-2</v>
      </c>
      <c r="M36" s="81" t="s">
        <v>1</v>
      </c>
      <c r="N36" s="82">
        <v>2.1358069999999998</v>
      </c>
      <c r="O36" s="83">
        <v>2.1368170000000002</v>
      </c>
    </row>
    <row r="37" spans="1:15" x14ac:dyDescent="0.25">
      <c r="A37" s="20" t="s">
        <v>18</v>
      </c>
      <c r="B37" s="10"/>
      <c r="C37" s="66"/>
      <c r="D37" s="10"/>
      <c r="E37" s="19"/>
      <c r="F37" s="85"/>
      <c r="G37" s="10"/>
      <c r="H37" s="19"/>
      <c r="I37" s="10"/>
      <c r="J37" s="66"/>
      <c r="K37" s="10"/>
      <c r="L37" s="19"/>
      <c r="M37" s="85"/>
      <c r="N37" s="10"/>
      <c r="O37" s="19"/>
    </row>
    <row r="38" spans="1:15" x14ac:dyDescent="0.25">
      <c r="A38" s="19" t="s">
        <v>18</v>
      </c>
      <c r="B38" s="10" t="s">
        <v>98</v>
      </c>
      <c r="C38" s="66"/>
      <c r="D38" s="86">
        <v>0</v>
      </c>
      <c r="E38" s="87">
        <v>26</v>
      </c>
      <c r="F38" s="88"/>
      <c r="G38" s="72">
        <v>0</v>
      </c>
      <c r="H38" s="73">
        <v>319766</v>
      </c>
      <c r="I38" s="69"/>
      <c r="J38" s="66"/>
      <c r="K38" s="72">
        <v>0</v>
      </c>
      <c r="L38" s="73">
        <v>26</v>
      </c>
      <c r="M38" s="88"/>
      <c r="N38" s="72">
        <v>0</v>
      </c>
      <c r="O38" s="73">
        <v>959298</v>
      </c>
    </row>
    <row r="39" spans="1:15" x14ac:dyDescent="0.25">
      <c r="A39" s="19"/>
      <c r="B39" s="10"/>
      <c r="C39" s="66"/>
      <c r="D39" s="89">
        <f t="shared" ref="D39:O39" si="3">SUM(D38)</f>
        <v>0</v>
      </c>
      <c r="E39" s="90">
        <f t="shared" si="3"/>
        <v>26</v>
      </c>
      <c r="F39" s="91"/>
      <c r="G39" s="89">
        <f t="shared" si="3"/>
        <v>0</v>
      </c>
      <c r="H39" s="76">
        <f t="shared" si="3"/>
        <v>319766</v>
      </c>
      <c r="I39" s="75"/>
      <c r="J39" s="66"/>
      <c r="K39" s="75">
        <f t="shared" si="3"/>
        <v>0</v>
      </c>
      <c r="L39" s="76">
        <f t="shared" si="3"/>
        <v>26</v>
      </c>
      <c r="M39" s="91"/>
      <c r="N39" s="75">
        <f t="shared" si="3"/>
        <v>0</v>
      </c>
      <c r="O39" s="76">
        <f t="shared" si="3"/>
        <v>959298</v>
      </c>
    </row>
    <row r="40" spans="1:15" x14ac:dyDescent="0.25">
      <c r="A40" s="19"/>
      <c r="B40" s="10"/>
      <c r="C40" s="68" t="s">
        <v>75</v>
      </c>
      <c r="D40" s="10"/>
      <c r="E40" s="20">
        <v>2.5999999999999999E-2</v>
      </c>
      <c r="F40" s="81" t="s">
        <v>1</v>
      </c>
      <c r="G40" s="10"/>
      <c r="H40" s="20">
        <v>0.31976599999999999</v>
      </c>
      <c r="I40" s="65"/>
      <c r="J40" s="68" t="s">
        <v>75</v>
      </c>
      <c r="K40" s="10"/>
      <c r="L40" s="84">
        <v>2.5999999999999999E-2</v>
      </c>
      <c r="M40" s="81" t="s">
        <v>1</v>
      </c>
      <c r="N40" s="82"/>
      <c r="O40" s="83">
        <v>0.95929799999999998</v>
      </c>
    </row>
    <row r="41" spans="1:15" x14ac:dyDescent="0.25">
      <c r="A41" s="20" t="s">
        <v>99</v>
      </c>
      <c r="B41" s="10"/>
      <c r="C41" s="66"/>
      <c r="D41" s="10"/>
      <c r="E41" s="19"/>
      <c r="F41" s="85"/>
      <c r="G41" s="10"/>
      <c r="H41" s="19"/>
      <c r="I41" s="10"/>
      <c r="J41" s="66"/>
      <c r="K41" s="10"/>
      <c r="L41" s="19"/>
      <c r="M41" s="85"/>
      <c r="N41" s="10"/>
      <c r="O41" s="19"/>
    </row>
    <row r="42" spans="1:15" x14ac:dyDescent="0.25">
      <c r="A42" s="19" t="s">
        <v>100</v>
      </c>
      <c r="B42" s="10" t="s">
        <v>78</v>
      </c>
      <c r="C42" s="66"/>
      <c r="D42" s="69">
        <v>934</v>
      </c>
      <c r="E42" s="70">
        <v>0</v>
      </c>
      <c r="F42" s="71"/>
      <c r="G42" s="69">
        <v>4899976</v>
      </c>
      <c r="H42" s="70">
        <v>0</v>
      </c>
      <c r="I42" s="69"/>
      <c r="J42" s="66"/>
      <c r="K42" s="69">
        <v>934</v>
      </c>
      <c r="L42" s="70">
        <v>934</v>
      </c>
      <c r="M42" s="71"/>
      <c r="N42" s="69">
        <v>19599902</v>
      </c>
      <c r="O42" s="70">
        <v>19599902</v>
      </c>
    </row>
    <row r="43" spans="1:15" x14ac:dyDescent="0.25">
      <c r="A43" s="19" t="s">
        <v>101</v>
      </c>
      <c r="B43" s="10" t="s">
        <v>78</v>
      </c>
      <c r="C43" s="66"/>
      <c r="D43" s="72">
        <v>321</v>
      </c>
      <c r="E43" s="73">
        <v>807</v>
      </c>
      <c r="F43" s="74"/>
      <c r="G43" s="72">
        <v>1651092</v>
      </c>
      <c r="H43" s="73">
        <v>2431058</v>
      </c>
      <c r="I43" s="69"/>
      <c r="J43" s="66"/>
      <c r="K43" s="72">
        <v>321</v>
      </c>
      <c r="L43" s="73">
        <v>1129</v>
      </c>
      <c r="M43" s="74"/>
      <c r="N43" s="72">
        <v>6604368</v>
      </c>
      <c r="O43" s="73">
        <v>13897541</v>
      </c>
    </row>
    <row r="44" spans="1:15" x14ac:dyDescent="0.25">
      <c r="A44" s="19"/>
      <c r="B44" s="10"/>
      <c r="C44" s="66"/>
      <c r="D44" s="75">
        <f t="shared" ref="D44:O44" si="4">SUM(D42:D43)</f>
        <v>1255</v>
      </c>
      <c r="E44" s="76">
        <f t="shared" si="4"/>
        <v>807</v>
      </c>
      <c r="F44" s="77"/>
      <c r="G44" s="75">
        <f t="shared" si="4"/>
        <v>6551068</v>
      </c>
      <c r="H44" s="76">
        <f t="shared" si="4"/>
        <v>2431058</v>
      </c>
      <c r="I44" s="75"/>
      <c r="J44" s="66"/>
      <c r="K44" s="75">
        <f t="shared" si="4"/>
        <v>1255</v>
      </c>
      <c r="L44" s="76">
        <f t="shared" si="4"/>
        <v>2063</v>
      </c>
      <c r="M44" s="77"/>
      <c r="N44" s="75">
        <f t="shared" si="4"/>
        <v>26204270</v>
      </c>
      <c r="O44" s="76">
        <f t="shared" si="4"/>
        <v>33497443</v>
      </c>
    </row>
    <row r="45" spans="1:15" x14ac:dyDescent="0.25">
      <c r="A45" s="10"/>
      <c r="B45" s="10"/>
      <c r="C45" s="68" t="s">
        <v>75</v>
      </c>
      <c r="D45" s="92">
        <v>1.2549999999999999</v>
      </c>
      <c r="E45" s="80">
        <v>0.80700000000000005</v>
      </c>
      <c r="F45" s="81" t="s">
        <v>1</v>
      </c>
      <c r="G45" s="82">
        <v>6.5510679999999999</v>
      </c>
      <c r="H45" s="83">
        <v>2.4310580000000002</v>
      </c>
      <c r="I45" s="82"/>
      <c r="J45" s="68" t="s">
        <v>75</v>
      </c>
      <c r="K45" s="92">
        <v>1.2549999999999999</v>
      </c>
      <c r="L45" s="80">
        <v>2.0630000000000002</v>
      </c>
      <c r="M45" s="81" t="s">
        <v>1</v>
      </c>
      <c r="N45" s="82">
        <v>26.204270000000001</v>
      </c>
      <c r="O45" s="83">
        <v>33.497442999999997</v>
      </c>
    </row>
    <row r="46" spans="1:15" x14ac:dyDescent="0.25">
      <c r="A46" s="7" t="s">
        <v>102</v>
      </c>
      <c r="C46" s="66"/>
      <c r="D46" s="10"/>
      <c r="E46" s="19"/>
      <c r="F46" s="85"/>
      <c r="G46" s="10"/>
      <c r="H46" s="19"/>
      <c r="I46" s="10"/>
      <c r="J46" s="66"/>
      <c r="K46" s="10"/>
      <c r="L46" s="19"/>
      <c r="M46" s="85"/>
      <c r="N46" s="10"/>
      <c r="O46" s="19"/>
    </row>
    <row r="47" spans="1:15" x14ac:dyDescent="0.25">
      <c r="A47" s="7" t="s">
        <v>103</v>
      </c>
      <c r="C47" s="66"/>
      <c r="D47" s="10"/>
      <c r="E47" s="19"/>
      <c r="F47" s="85"/>
      <c r="G47" s="10"/>
      <c r="H47" s="19"/>
      <c r="I47" s="10"/>
      <c r="J47" s="66"/>
      <c r="K47" s="10"/>
      <c r="L47" s="19"/>
      <c r="M47" s="85"/>
      <c r="N47" s="10"/>
      <c r="O47" s="19"/>
    </row>
    <row r="48" spans="1:15" x14ac:dyDescent="0.25">
      <c r="A48" t="s">
        <v>104</v>
      </c>
      <c r="C48" s="66"/>
      <c r="D48" s="10"/>
      <c r="E48" s="19"/>
      <c r="F48" s="85"/>
      <c r="G48" s="10"/>
      <c r="H48" s="19"/>
      <c r="I48" s="10"/>
      <c r="J48" s="66"/>
      <c r="K48" s="10"/>
      <c r="L48" s="19"/>
      <c r="M48" s="85"/>
      <c r="N48" s="10"/>
      <c r="O48" s="19"/>
    </row>
    <row r="49" spans="1:15" x14ac:dyDescent="0.25">
      <c r="A49" t="s">
        <v>105</v>
      </c>
      <c r="C49" s="66"/>
      <c r="D49" s="10"/>
      <c r="E49" s="19"/>
      <c r="F49" s="85"/>
      <c r="G49" s="10"/>
      <c r="H49" s="19"/>
      <c r="I49" s="10"/>
      <c r="J49" s="66"/>
      <c r="K49" s="10"/>
      <c r="L49" s="19"/>
      <c r="M49" s="85"/>
      <c r="N49" s="10"/>
      <c r="O49" s="19"/>
    </row>
    <row r="50" spans="1:15" x14ac:dyDescent="0.25">
      <c r="C50" s="66"/>
      <c r="D50" s="10"/>
      <c r="E50" s="19"/>
      <c r="F50" s="85"/>
      <c r="G50" s="10"/>
      <c r="H50" s="19"/>
      <c r="I50" s="10"/>
      <c r="J50" s="66"/>
      <c r="K50" s="10"/>
      <c r="L50" s="19"/>
      <c r="M50" s="85"/>
      <c r="N50" s="10"/>
      <c r="O50" s="19"/>
    </row>
    <row r="51" spans="1:15" x14ac:dyDescent="0.25">
      <c r="A51" s="11" t="s">
        <v>20</v>
      </c>
      <c r="B51" s="10"/>
      <c r="C51" s="66"/>
      <c r="D51" s="75"/>
      <c r="E51" s="76">
        <v>-209</v>
      </c>
      <c r="F51" s="77"/>
      <c r="G51" s="75"/>
      <c r="H51" s="76">
        <v>244069</v>
      </c>
      <c r="I51" s="75"/>
      <c r="J51" s="66"/>
      <c r="K51" s="75"/>
      <c r="L51" s="76">
        <v>-217</v>
      </c>
      <c r="M51" s="77"/>
      <c r="N51" s="75"/>
      <c r="O51" s="90">
        <v>953652</v>
      </c>
    </row>
    <row r="52" spans="1:15" x14ac:dyDescent="0.25">
      <c r="A52" s="11"/>
      <c r="B52" s="10"/>
      <c r="C52" s="68" t="s">
        <v>75</v>
      </c>
      <c r="D52" s="75"/>
      <c r="E52" s="80">
        <v>-0.20899999999999999</v>
      </c>
      <c r="F52" s="81" t="s">
        <v>1</v>
      </c>
      <c r="G52" s="82"/>
      <c r="H52" s="83">
        <v>0.24406900000000001</v>
      </c>
      <c r="I52" s="82"/>
      <c r="J52" s="68" t="s">
        <v>75</v>
      </c>
      <c r="K52" s="75"/>
      <c r="L52" s="80">
        <v>-0.217</v>
      </c>
      <c r="M52" s="81" t="s">
        <v>1</v>
      </c>
      <c r="N52" s="82"/>
      <c r="O52" s="83">
        <v>0.95365200000000006</v>
      </c>
    </row>
    <row r="53" spans="1:15" x14ac:dyDescent="0.25">
      <c r="A53" s="11"/>
      <c r="B53" s="10"/>
      <c r="C53" s="66"/>
      <c r="D53" s="75"/>
      <c r="E53" s="76"/>
      <c r="F53" s="77"/>
      <c r="G53" s="75"/>
      <c r="H53" s="76"/>
      <c r="I53" s="75"/>
      <c r="J53" s="66"/>
      <c r="K53" s="75"/>
      <c r="L53" s="76"/>
      <c r="M53" s="77"/>
      <c r="N53" s="75"/>
      <c r="O53" s="90"/>
    </row>
    <row r="54" spans="1:15" x14ac:dyDescent="0.25">
      <c r="A54" t="s">
        <v>106</v>
      </c>
      <c r="C54" s="66"/>
      <c r="D54" s="93">
        <f>SUM(D6:D10,D16:D20,D26:D33,D38,D42:D43)</f>
        <v>8892</v>
      </c>
      <c r="E54" s="94">
        <f>SUM(E6:E10,E16:E20,E26:E33,E38,E42:E43)</f>
        <v>8803</v>
      </c>
      <c r="F54" s="95"/>
      <c r="G54" s="93">
        <f>SUM(G6:G10,G16:G20,G26:G33,G38,G42:G43)</f>
        <v>35815751</v>
      </c>
      <c r="H54" s="94">
        <f>SUM(H6:H10,H16:H20,H26:H33,H38,H42:H43)</f>
        <v>34783065</v>
      </c>
      <c r="I54" s="93"/>
      <c r="J54" s="66"/>
      <c r="K54" s="93">
        <f>SUM(K6:K10,K16:K20,K26:K33,K38,K42:K43)</f>
        <v>8250</v>
      </c>
      <c r="L54" s="94">
        <f>SUM(L6:L10,L16:L20,L26:L33,L38,L42:L43)</f>
        <v>16861</v>
      </c>
      <c r="M54" s="95"/>
      <c r="N54" s="93">
        <f>SUM(N6:N10,N16:N20,N26:N33,N38,N42:N43)</f>
        <v>141373033</v>
      </c>
      <c r="O54" s="94">
        <f>SUM(O6:O10,O16:O20,O26:O33,O38,O42:O43)</f>
        <v>244914556</v>
      </c>
    </row>
    <row r="55" spans="1:15" x14ac:dyDescent="0.25">
      <c r="A55" t="s">
        <v>107</v>
      </c>
      <c r="C55" s="66"/>
      <c r="D55" s="93">
        <f>SUM(D11,D21,D22,D34)</f>
        <v>3794</v>
      </c>
      <c r="E55" s="94">
        <f>SUM(E11,E21,E22,E34)</f>
        <v>7956</v>
      </c>
      <c r="F55" s="95"/>
      <c r="G55" s="93">
        <f>SUM(G11,G21,G22,G34)</f>
        <v>31587</v>
      </c>
      <c r="H55" s="94">
        <f>SUM(H11,H21,H22,H34)</f>
        <v>66375</v>
      </c>
      <c r="I55" s="93"/>
      <c r="J55" s="66"/>
      <c r="K55" s="93">
        <f>SUM(K11,K21,K22,K34)</f>
        <v>0</v>
      </c>
      <c r="L55" s="94">
        <f>SUM(L11,L21,L22,L34)</f>
        <v>0</v>
      </c>
      <c r="M55" s="95"/>
      <c r="N55" s="93">
        <f>SUM(N11,N21,N22,N34)</f>
        <v>31587</v>
      </c>
      <c r="O55" s="94">
        <f>SUM(O11,O21,O22,O34)</f>
        <v>97965</v>
      </c>
    </row>
    <row r="56" spans="1:15" x14ac:dyDescent="0.25">
      <c r="C56" s="66"/>
      <c r="D56" s="10"/>
      <c r="E56" s="19"/>
      <c r="F56" s="85"/>
      <c r="G56" s="10"/>
      <c r="H56" s="19"/>
      <c r="I56" s="10"/>
      <c r="J56" s="66"/>
      <c r="K56" s="10"/>
      <c r="L56" s="19"/>
      <c r="M56" s="85"/>
      <c r="N56" s="10"/>
      <c r="O56" s="19"/>
    </row>
    <row r="57" spans="1:15" x14ac:dyDescent="0.25">
      <c r="C57" s="66"/>
      <c r="D57" s="10"/>
      <c r="E57" s="19"/>
      <c r="F57" s="85"/>
      <c r="G57" s="10"/>
      <c r="H57" s="19"/>
      <c r="I57" s="10"/>
      <c r="J57" s="66"/>
      <c r="K57" s="10"/>
      <c r="L57" s="19"/>
      <c r="M57" s="85"/>
      <c r="N57" s="10"/>
      <c r="O57" s="19"/>
    </row>
    <row r="58" spans="1:15" ht="15.75" thickBot="1" x14ac:dyDescent="0.3">
      <c r="A58" t="s">
        <v>108</v>
      </c>
      <c r="C58" s="66"/>
      <c r="D58" s="96">
        <f>SUM(D13,D23,D35,D39,D44)</f>
        <v>12686</v>
      </c>
      <c r="E58" s="97">
        <f>SUM(E13,E23,E35,E39,E44,E51)</f>
        <v>16550</v>
      </c>
      <c r="F58" s="98"/>
      <c r="G58" s="96">
        <f>SUM(G13,G23,G35,G39,G44)</f>
        <v>35847338</v>
      </c>
      <c r="H58" s="97">
        <f>SUM(H13,H23,H35,H39,H44,H51)</f>
        <v>35093509</v>
      </c>
      <c r="I58" s="75"/>
      <c r="J58" s="66"/>
      <c r="K58" s="96">
        <f>SUM(K13,K23,K35,K39,K44)</f>
        <v>8250</v>
      </c>
      <c r="L58" s="97">
        <f>SUM(L13,L23,L35,L39,L44,L51)</f>
        <v>16644</v>
      </c>
      <c r="M58" s="98"/>
      <c r="N58" s="96">
        <f>SUM(N13,N23,N35,N39,N44)</f>
        <v>141404620</v>
      </c>
      <c r="O58" s="97">
        <f>SUM(O13,O23,O35,O39,O44,O51)</f>
        <v>245966173</v>
      </c>
    </row>
    <row r="59" spans="1:15" ht="15.75" thickTop="1" x14ac:dyDescent="0.25">
      <c r="C59" s="99" t="s">
        <v>75</v>
      </c>
      <c r="D59" s="100">
        <f>SUM(D14,D24,D36,D40,D45,D52)</f>
        <v>12.686</v>
      </c>
      <c r="E59" s="101">
        <f>SUM(E14,E24,E36,E40,E45,E52)</f>
        <v>16.55</v>
      </c>
      <c r="F59" s="102" t="s">
        <v>1</v>
      </c>
      <c r="G59" s="103">
        <f>SUM(G14,G24,G36,G40,G45,G52)</f>
        <v>35.847338000000001</v>
      </c>
      <c r="H59" s="104">
        <f>SUM(H14,H24,H36,H40,H45,H52)</f>
        <v>35.093531000000006</v>
      </c>
      <c r="I59" s="105"/>
      <c r="J59" s="68" t="s">
        <v>75</v>
      </c>
      <c r="K59" s="92">
        <f>SUM(K14,K24,K36,K40,K45,K52)</f>
        <v>8.25</v>
      </c>
      <c r="L59" s="80">
        <f>SUM(L14,L24,L36,L40,L45,L52)</f>
        <v>16.643999999999998</v>
      </c>
      <c r="M59" s="106" t="s">
        <v>1</v>
      </c>
      <c r="N59" s="105">
        <f>SUM(N14,N24,N36,N40,N45,N52)</f>
        <v>141.40462000000002</v>
      </c>
      <c r="O59" s="107">
        <f>SUM(O14,O24,O36,O40,O45,O52)</f>
        <v>245.966172</v>
      </c>
    </row>
    <row r="60" spans="1:15" x14ac:dyDescent="0.25">
      <c r="J60" s="66" t="s">
        <v>109</v>
      </c>
      <c r="K60" s="110">
        <v>85260</v>
      </c>
      <c r="L60" s="90">
        <v>85260</v>
      </c>
      <c r="M60" s="85"/>
      <c r="N60" s="110">
        <v>374730000</v>
      </c>
      <c r="O60" s="90">
        <v>374730000</v>
      </c>
    </row>
    <row r="61" spans="1:15" x14ac:dyDescent="0.25">
      <c r="J61" s="61" t="s">
        <v>110</v>
      </c>
      <c r="K61" s="111">
        <f>K58/K60</f>
        <v>9.6762843068261786E-2</v>
      </c>
      <c r="L61" s="112">
        <f>L58/L60</f>
        <v>0.1952146375791696</v>
      </c>
      <c r="M61" s="113"/>
      <c r="N61" s="111">
        <f>N58/N60</f>
        <v>0.37735067915565873</v>
      </c>
      <c r="O61" s="112">
        <f>O58/O60</f>
        <v>0.65638238998745768</v>
      </c>
    </row>
    <row r="64" spans="1:15" x14ac:dyDescent="0.25">
      <c r="H64" s="7"/>
      <c r="I64" s="7"/>
    </row>
    <row r="66" spans="15:15" customFormat="1" x14ac:dyDescent="0.25">
      <c r="O66" s="7"/>
    </row>
  </sheetData>
  <mergeCells count="7">
    <mergeCell ref="A1:B1"/>
    <mergeCell ref="C1:H1"/>
    <mergeCell ref="J1:O1"/>
    <mergeCell ref="C2:E3"/>
    <mergeCell ref="F2:H3"/>
    <mergeCell ref="J2:L3"/>
    <mergeCell ref="M2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G26" sqref="G26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25" width="9.140625" style="23"/>
  </cols>
  <sheetData>
    <row r="1" spans="1:9" x14ac:dyDescent="0.25">
      <c r="A1" t="s">
        <v>27</v>
      </c>
      <c r="B1" t="s">
        <v>28</v>
      </c>
      <c r="C1" t="s">
        <v>29</v>
      </c>
      <c r="H1" s="23" t="s">
        <v>134</v>
      </c>
      <c r="I1" s="23" t="s">
        <v>135</v>
      </c>
    </row>
    <row r="2" spans="1:9" x14ac:dyDescent="0.25">
      <c r="A2">
        <v>2016</v>
      </c>
      <c r="B2">
        <v>1</v>
      </c>
      <c r="C2" s="1">
        <f>+$I$6</f>
        <v>6076.9230769230771</v>
      </c>
      <c r="D2" s="24">
        <f>B2/12</f>
        <v>8.3333333333333329E-2</v>
      </c>
      <c r="E2" s="1">
        <f>C2*D2</f>
        <v>506.41025641025641</v>
      </c>
      <c r="H2" s="1">
        <f>+'Forecasted Targets'!G14</f>
        <v>79000</v>
      </c>
      <c r="I2" s="1">
        <f>H2/2</f>
        <v>39500</v>
      </c>
    </row>
    <row r="3" spans="1:9" x14ac:dyDescent="0.25">
      <c r="A3">
        <v>2016</v>
      </c>
      <c r="B3">
        <v>2</v>
      </c>
      <c r="C3" s="1">
        <f t="shared" ref="C3:C13" si="0">+$I$6</f>
        <v>6076.9230769230771</v>
      </c>
      <c r="D3" s="24">
        <f t="shared" ref="D3:D13" si="1">B3/12</f>
        <v>0.16666666666666666</v>
      </c>
      <c r="E3" s="1">
        <f t="shared" ref="E3:E25" si="2">C3*D3</f>
        <v>1012.8205128205128</v>
      </c>
      <c r="F3" s="3"/>
      <c r="G3" s="3"/>
      <c r="H3" s="1">
        <v>12</v>
      </c>
      <c r="I3" s="1">
        <v>12</v>
      </c>
    </row>
    <row r="4" spans="1:9" x14ac:dyDescent="0.25">
      <c r="A4">
        <v>2016</v>
      </c>
      <c r="B4">
        <v>3</v>
      </c>
      <c r="C4" s="1">
        <f t="shared" si="0"/>
        <v>6076.9230769230771</v>
      </c>
      <c r="D4" s="24">
        <f t="shared" si="1"/>
        <v>0.25</v>
      </c>
      <c r="E4" s="1">
        <f t="shared" si="2"/>
        <v>1519.2307692307693</v>
      </c>
      <c r="F4" s="3"/>
      <c r="G4" s="3"/>
      <c r="H4" s="1">
        <f>H2*H3</f>
        <v>948000</v>
      </c>
      <c r="I4" s="1">
        <f>I2*I3</f>
        <v>474000</v>
      </c>
    </row>
    <row r="5" spans="1:9" x14ac:dyDescent="0.25">
      <c r="A5">
        <v>2016</v>
      </c>
      <c r="B5">
        <v>4</v>
      </c>
      <c r="C5" s="1">
        <f t="shared" si="0"/>
        <v>6076.9230769230771</v>
      </c>
      <c r="D5" s="24">
        <f t="shared" si="1"/>
        <v>0.33333333333333331</v>
      </c>
      <c r="E5" s="1">
        <f t="shared" si="2"/>
        <v>2025.6410256410256</v>
      </c>
      <c r="F5" s="3"/>
      <c r="G5" s="3"/>
      <c r="H5" s="23">
        <v>78</v>
      </c>
      <c r="I5" s="23">
        <v>78</v>
      </c>
    </row>
    <row r="6" spans="1:9" x14ac:dyDescent="0.25">
      <c r="A6">
        <v>2016</v>
      </c>
      <c r="B6">
        <v>5</v>
      </c>
      <c r="C6" s="1">
        <f t="shared" si="0"/>
        <v>6076.9230769230771</v>
      </c>
      <c r="D6" s="24">
        <f t="shared" si="1"/>
        <v>0.41666666666666669</v>
      </c>
      <c r="E6" s="1">
        <f t="shared" si="2"/>
        <v>2532.0512820512822</v>
      </c>
      <c r="F6" s="3"/>
      <c r="G6" s="3"/>
      <c r="H6" s="1">
        <f>H4/H5</f>
        <v>12153.846153846154</v>
      </c>
      <c r="I6" s="1">
        <f>I4/I5</f>
        <v>6076.9230769230771</v>
      </c>
    </row>
    <row r="7" spans="1:9" x14ac:dyDescent="0.25">
      <c r="A7">
        <v>2016</v>
      </c>
      <c r="B7">
        <v>6</v>
      </c>
      <c r="C7" s="1">
        <f t="shared" si="0"/>
        <v>6076.9230769230771</v>
      </c>
      <c r="D7" s="24">
        <f t="shared" si="1"/>
        <v>0.5</v>
      </c>
      <c r="E7" s="1">
        <f t="shared" si="2"/>
        <v>3038.4615384615386</v>
      </c>
      <c r="F7" s="3"/>
      <c r="G7" s="3"/>
    </row>
    <row r="8" spans="1:9" x14ac:dyDescent="0.25">
      <c r="A8">
        <v>2016</v>
      </c>
      <c r="B8">
        <v>7</v>
      </c>
      <c r="C8" s="1">
        <f t="shared" si="0"/>
        <v>6076.9230769230771</v>
      </c>
      <c r="D8" s="24">
        <f t="shared" si="1"/>
        <v>0.58333333333333337</v>
      </c>
      <c r="E8" s="1">
        <f t="shared" si="2"/>
        <v>3544.8717948717954</v>
      </c>
      <c r="F8" s="3"/>
      <c r="G8" s="3"/>
    </row>
    <row r="9" spans="1:9" x14ac:dyDescent="0.25">
      <c r="A9">
        <v>2016</v>
      </c>
      <c r="B9">
        <v>8</v>
      </c>
      <c r="C9" s="1">
        <f t="shared" si="0"/>
        <v>6076.9230769230771</v>
      </c>
      <c r="D9" s="24">
        <f t="shared" si="1"/>
        <v>0.66666666666666663</v>
      </c>
      <c r="E9" s="1">
        <f t="shared" si="2"/>
        <v>4051.2820512820513</v>
      </c>
      <c r="F9" s="3"/>
      <c r="G9" s="3"/>
    </row>
    <row r="10" spans="1:9" x14ac:dyDescent="0.25">
      <c r="A10">
        <v>2016</v>
      </c>
      <c r="B10">
        <v>9</v>
      </c>
      <c r="C10" s="1">
        <f t="shared" si="0"/>
        <v>6076.9230769230771</v>
      </c>
      <c r="D10" s="24">
        <f t="shared" si="1"/>
        <v>0.75</v>
      </c>
      <c r="E10" s="1">
        <f t="shared" si="2"/>
        <v>4557.6923076923076</v>
      </c>
      <c r="F10" s="3"/>
      <c r="G10" s="3"/>
    </row>
    <row r="11" spans="1:9" x14ac:dyDescent="0.25">
      <c r="A11">
        <v>2016</v>
      </c>
      <c r="B11">
        <v>10</v>
      </c>
      <c r="C11" s="1">
        <f t="shared" si="0"/>
        <v>6076.9230769230771</v>
      </c>
      <c r="D11" s="24">
        <f t="shared" si="1"/>
        <v>0.83333333333333337</v>
      </c>
      <c r="E11" s="1">
        <f t="shared" si="2"/>
        <v>5064.1025641025644</v>
      </c>
      <c r="F11" s="3"/>
      <c r="G11" s="3"/>
      <c r="H11" s="1"/>
      <c r="I11" s="1"/>
    </row>
    <row r="12" spans="1:9" x14ac:dyDescent="0.25">
      <c r="A12">
        <v>2016</v>
      </c>
      <c r="B12">
        <v>11</v>
      </c>
      <c r="C12" s="1">
        <f t="shared" si="0"/>
        <v>6076.9230769230771</v>
      </c>
      <c r="D12" s="24">
        <f t="shared" si="1"/>
        <v>0.91666666666666663</v>
      </c>
      <c r="E12" s="1">
        <f t="shared" si="2"/>
        <v>5570.5128205128203</v>
      </c>
      <c r="F12" s="3"/>
      <c r="G12" s="3"/>
    </row>
    <row r="13" spans="1:9" x14ac:dyDescent="0.25">
      <c r="A13">
        <v>2016</v>
      </c>
      <c r="B13">
        <v>12</v>
      </c>
      <c r="C13" s="1">
        <f t="shared" si="0"/>
        <v>6076.9230769230771</v>
      </c>
      <c r="D13" s="24">
        <f t="shared" si="1"/>
        <v>1</v>
      </c>
      <c r="E13" s="1">
        <f t="shared" si="2"/>
        <v>6076.9230769230771</v>
      </c>
      <c r="F13" s="3"/>
      <c r="G13" s="3">
        <f>SUM(C2:C13)</f>
        <v>72923.076923076922</v>
      </c>
      <c r="H13" s="3">
        <f>SUM(D2:D13)</f>
        <v>6.5</v>
      </c>
      <c r="I13" s="3">
        <f>SUM(E2:E13)</f>
        <v>39500</v>
      </c>
    </row>
    <row r="14" spans="1:9" ht="14.45" x14ac:dyDescent="0.3">
      <c r="A14">
        <f t="shared" ref="A14:A25" si="3">A2+1</f>
        <v>2017</v>
      </c>
      <c r="B14">
        <f t="shared" ref="B14:B25" si="4">B2</f>
        <v>1</v>
      </c>
      <c r="C14" s="1">
        <f>$H$2/12</f>
        <v>6583.333333333333</v>
      </c>
      <c r="D14" s="24">
        <v>1</v>
      </c>
      <c r="E14" s="1">
        <f t="shared" si="2"/>
        <v>6583.333333333333</v>
      </c>
      <c r="F14" s="3"/>
      <c r="G14" s="3"/>
    </row>
    <row r="15" spans="1:9" ht="14.45" x14ac:dyDescent="0.3">
      <c r="A15">
        <f t="shared" si="3"/>
        <v>2017</v>
      </c>
      <c r="B15">
        <f t="shared" si="4"/>
        <v>2</v>
      </c>
      <c r="C15" s="1">
        <f>$H$2/12</f>
        <v>6583.333333333333</v>
      </c>
      <c r="D15" s="24">
        <v>1</v>
      </c>
      <c r="E15" s="1">
        <f t="shared" si="2"/>
        <v>6583.333333333333</v>
      </c>
      <c r="F15" s="3"/>
      <c r="G15" s="3"/>
    </row>
    <row r="16" spans="1:9" ht="14.45" x14ac:dyDescent="0.3">
      <c r="A16">
        <f t="shared" si="3"/>
        <v>2017</v>
      </c>
      <c r="B16">
        <f t="shared" si="4"/>
        <v>3</v>
      </c>
      <c r="C16" s="1">
        <f t="shared" ref="C16:C25" si="5">$H$2/12</f>
        <v>6583.333333333333</v>
      </c>
      <c r="D16" s="24">
        <v>1</v>
      </c>
      <c r="E16" s="1">
        <f t="shared" si="2"/>
        <v>6583.333333333333</v>
      </c>
      <c r="F16" s="3"/>
      <c r="G16" s="3"/>
    </row>
    <row r="17" spans="1:9" ht="14.45" x14ac:dyDescent="0.3">
      <c r="A17">
        <f t="shared" si="3"/>
        <v>2017</v>
      </c>
      <c r="B17">
        <f t="shared" si="4"/>
        <v>4</v>
      </c>
      <c r="C17" s="1">
        <f t="shared" si="5"/>
        <v>6583.333333333333</v>
      </c>
      <c r="D17" s="24">
        <v>1</v>
      </c>
      <c r="E17" s="1">
        <f t="shared" si="2"/>
        <v>6583.333333333333</v>
      </c>
      <c r="F17" s="3"/>
      <c r="G17" s="3"/>
    </row>
    <row r="18" spans="1:9" ht="14.45" x14ac:dyDescent="0.3">
      <c r="A18">
        <f t="shared" si="3"/>
        <v>2017</v>
      </c>
      <c r="B18">
        <f t="shared" si="4"/>
        <v>5</v>
      </c>
      <c r="C18" s="1">
        <f t="shared" si="5"/>
        <v>6583.333333333333</v>
      </c>
      <c r="D18" s="24">
        <v>1</v>
      </c>
      <c r="E18" s="1">
        <f t="shared" si="2"/>
        <v>6583.333333333333</v>
      </c>
      <c r="F18" s="3"/>
      <c r="G18" s="3"/>
    </row>
    <row r="19" spans="1:9" x14ac:dyDescent="0.25">
      <c r="A19">
        <f t="shared" si="3"/>
        <v>2017</v>
      </c>
      <c r="B19">
        <f t="shared" si="4"/>
        <v>6</v>
      </c>
      <c r="C19" s="1">
        <f t="shared" si="5"/>
        <v>6583.333333333333</v>
      </c>
      <c r="D19" s="24">
        <v>1</v>
      </c>
      <c r="E19" s="1">
        <f t="shared" si="2"/>
        <v>6583.333333333333</v>
      </c>
      <c r="F19" s="3"/>
      <c r="G19" s="3"/>
    </row>
    <row r="20" spans="1:9" x14ac:dyDescent="0.25">
      <c r="A20">
        <f t="shared" si="3"/>
        <v>2017</v>
      </c>
      <c r="B20">
        <f t="shared" si="4"/>
        <v>7</v>
      </c>
      <c r="C20" s="1">
        <f t="shared" si="5"/>
        <v>6583.333333333333</v>
      </c>
      <c r="D20" s="24">
        <v>1</v>
      </c>
      <c r="E20" s="1">
        <f t="shared" si="2"/>
        <v>6583.333333333333</v>
      </c>
      <c r="F20" s="3"/>
      <c r="G20" s="3"/>
    </row>
    <row r="21" spans="1:9" x14ac:dyDescent="0.25">
      <c r="A21">
        <f t="shared" si="3"/>
        <v>2017</v>
      </c>
      <c r="B21">
        <f t="shared" si="4"/>
        <v>8</v>
      </c>
      <c r="C21" s="1">
        <f t="shared" si="5"/>
        <v>6583.333333333333</v>
      </c>
      <c r="D21" s="24">
        <v>1</v>
      </c>
      <c r="E21" s="1">
        <f t="shared" si="2"/>
        <v>6583.333333333333</v>
      </c>
      <c r="F21" s="3"/>
      <c r="G21" s="3"/>
    </row>
    <row r="22" spans="1:9" x14ac:dyDescent="0.25">
      <c r="A22">
        <f t="shared" si="3"/>
        <v>2017</v>
      </c>
      <c r="B22">
        <f t="shared" si="4"/>
        <v>9</v>
      </c>
      <c r="C22" s="1">
        <f t="shared" si="5"/>
        <v>6583.333333333333</v>
      </c>
      <c r="D22" s="24">
        <v>1</v>
      </c>
      <c r="E22" s="1">
        <f t="shared" si="2"/>
        <v>6583.333333333333</v>
      </c>
      <c r="F22" s="3"/>
      <c r="G22" s="3"/>
    </row>
    <row r="23" spans="1:9" x14ac:dyDescent="0.25">
      <c r="A23">
        <f t="shared" si="3"/>
        <v>2017</v>
      </c>
      <c r="B23">
        <f t="shared" si="4"/>
        <v>10</v>
      </c>
      <c r="C23" s="1">
        <f t="shared" si="5"/>
        <v>6583.333333333333</v>
      </c>
      <c r="D23" s="24">
        <v>1</v>
      </c>
      <c r="E23" s="1">
        <f t="shared" si="2"/>
        <v>6583.333333333333</v>
      </c>
      <c r="F23" s="3"/>
      <c r="G23" s="3"/>
    </row>
    <row r="24" spans="1:9" x14ac:dyDescent="0.25">
      <c r="A24">
        <f t="shared" si="3"/>
        <v>2017</v>
      </c>
      <c r="B24">
        <f t="shared" si="4"/>
        <v>11</v>
      </c>
      <c r="C24" s="1">
        <f t="shared" si="5"/>
        <v>6583.333333333333</v>
      </c>
      <c r="D24" s="24">
        <v>1</v>
      </c>
      <c r="E24" s="1">
        <f t="shared" si="2"/>
        <v>6583.333333333333</v>
      </c>
      <c r="F24" s="3"/>
      <c r="G24" s="3"/>
    </row>
    <row r="25" spans="1:9" x14ac:dyDescent="0.25">
      <c r="A25">
        <f t="shared" si="3"/>
        <v>2017</v>
      </c>
      <c r="B25">
        <f t="shared" si="4"/>
        <v>12</v>
      </c>
      <c r="C25" s="1">
        <f t="shared" si="5"/>
        <v>6583.333333333333</v>
      </c>
      <c r="D25" s="24">
        <v>1</v>
      </c>
      <c r="E25" s="1">
        <f t="shared" si="2"/>
        <v>6583.333333333333</v>
      </c>
      <c r="F25" s="3"/>
      <c r="G25" s="3">
        <f>SUM(C14:C25)</f>
        <v>79000</v>
      </c>
      <c r="H25" s="3">
        <f>SUM(D14:D25)</f>
        <v>12</v>
      </c>
      <c r="I25" s="3">
        <f>SUM(E14:E25)</f>
        <v>79000</v>
      </c>
    </row>
    <row r="26" spans="1:9" x14ac:dyDescent="0.25">
      <c r="C26" s="1"/>
    </row>
    <row r="27" spans="1:9" x14ac:dyDescent="0.25">
      <c r="C27" s="1"/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C14" sqref="C14:C25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25" width="9.140625" style="23"/>
  </cols>
  <sheetData>
    <row r="1" spans="1:9" x14ac:dyDescent="0.25">
      <c r="A1" t="s">
        <v>27</v>
      </c>
      <c r="B1" t="s">
        <v>28</v>
      </c>
      <c r="C1" t="s">
        <v>29</v>
      </c>
      <c r="H1" s="23" t="s">
        <v>134</v>
      </c>
      <c r="I1" s="23" t="s">
        <v>135</v>
      </c>
    </row>
    <row r="2" spans="1:9" x14ac:dyDescent="0.25">
      <c r="A2">
        <v>2017</v>
      </c>
      <c r="B2">
        <v>1</v>
      </c>
      <c r="C2" s="1">
        <f>+$I$6</f>
        <v>6076.9230769230771</v>
      </c>
      <c r="D2" s="24">
        <f>B2/12</f>
        <v>8.3333333333333329E-2</v>
      </c>
      <c r="E2" s="1">
        <f>C2*D2</f>
        <v>506.41025641025641</v>
      </c>
      <c r="H2" s="1">
        <f>+'Forecasted Targets'!H15</f>
        <v>79000</v>
      </c>
      <c r="I2" s="1">
        <f>H2/2</f>
        <v>39500</v>
      </c>
    </row>
    <row r="3" spans="1:9" x14ac:dyDescent="0.25">
      <c r="A3">
        <v>2017</v>
      </c>
      <c r="B3">
        <v>2</v>
      </c>
      <c r="C3" s="1">
        <f t="shared" ref="C3:C13" si="0">+$I$6</f>
        <v>6076.9230769230771</v>
      </c>
      <c r="D3" s="24">
        <f t="shared" ref="D3:D13" si="1">B3/12</f>
        <v>0.16666666666666666</v>
      </c>
      <c r="E3" s="1">
        <f t="shared" ref="E3:E25" si="2">C3*D3</f>
        <v>1012.8205128205128</v>
      </c>
      <c r="F3" s="3"/>
      <c r="G3" s="3"/>
      <c r="H3" s="1">
        <v>12</v>
      </c>
      <c r="I3" s="1">
        <v>12</v>
      </c>
    </row>
    <row r="4" spans="1:9" x14ac:dyDescent="0.25">
      <c r="A4">
        <v>2017</v>
      </c>
      <c r="B4">
        <v>3</v>
      </c>
      <c r="C4" s="1">
        <f t="shared" si="0"/>
        <v>6076.9230769230771</v>
      </c>
      <c r="D4" s="24">
        <f t="shared" si="1"/>
        <v>0.25</v>
      </c>
      <c r="E4" s="1">
        <f t="shared" si="2"/>
        <v>1519.2307692307693</v>
      </c>
      <c r="F4" s="3"/>
      <c r="G4" s="3"/>
      <c r="H4" s="1">
        <f>H2*H3</f>
        <v>948000</v>
      </c>
      <c r="I4" s="1">
        <f>I2*I3</f>
        <v>474000</v>
      </c>
    </row>
    <row r="5" spans="1:9" x14ac:dyDescent="0.25">
      <c r="A5">
        <v>2017</v>
      </c>
      <c r="B5">
        <v>4</v>
      </c>
      <c r="C5" s="1">
        <f t="shared" si="0"/>
        <v>6076.9230769230771</v>
      </c>
      <c r="D5" s="24">
        <f t="shared" si="1"/>
        <v>0.33333333333333331</v>
      </c>
      <c r="E5" s="1">
        <f t="shared" si="2"/>
        <v>2025.6410256410256</v>
      </c>
      <c r="F5" s="3"/>
      <c r="G5" s="3"/>
      <c r="H5" s="23">
        <v>78</v>
      </c>
      <c r="I5" s="23">
        <v>78</v>
      </c>
    </row>
    <row r="6" spans="1:9" x14ac:dyDescent="0.25">
      <c r="A6">
        <v>2017</v>
      </c>
      <c r="B6">
        <v>5</v>
      </c>
      <c r="C6" s="1">
        <f t="shared" si="0"/>
        <v>6076.9230769230771</v>
      </c>
      <c r="D6" s="24">
        <f t="shared" si="1"/>
        <v>0.41666666666666669</v>
      </c>
      <c r="E6" s="1">
        <f t="shared" si="2"/>
        <v>2532.0512820512822</v>
      </c>
      <c r="F6" s="3"/>
      <c r="G6" s="3"/>
      <c r="H6" s="1">
        <f>H4/H5</f>
        <v>12153.846153846154</v>
      </c>
      <c r="I6" s="1">
        <f>I4/I5</f>
        <v>6076.9230769230771</v>
      </c>
    </row>
    <row r="7" spans="1:9" x14ac:dyDescent="0.25">
      <c r="A7">
        <v>2017</v>
      </c>
      <c r="B7">
        <v>6</v>
      </c>
      <c r="C7" s="1">
        <f t="shared" si="0"/>
        <v>6076.9230769230771</v>
      </c>
      <c r="D7" s="24">
        <f t="shared" si="1"/>
        <v>0.5</v>
      </c>
      <c r="E7" s="1">
        <f t="shared" si="2"/>
        <v>3038.4615384615386</v>
      </c>
      <c r="F7" s="3"/>
      <c r="G7" s="3"/>
    </row>
    <row r="8" spans="1:9" x14ac:dyDescent="0.25">
      <c r="A8">
        <v>2017</v>
      </c>
      <c r="B8">
        <v>7</v>
      </c>
      <c r="C8" s="1">
        <f t="shared" si="0"/>
        <v>6076.9230769230771</v>
      </c>
      <c r="D8" s="24">
        <f t="shared" si="1"/>
        <v>0.58333333333333337</v>
      </c>
      <c r="E8" s="1">
        <f t="shared" si="2"/>
        <v>3544.8717948717954</v>
      </c>
      <c r="F8" s="3"/>
      <c r="G8" s="3"/>
    </row>
    <row r="9" spans="1:9" x14ac:dyDescent="0.25">
      <c r="A9">
        <v>2017</v>
      </c>
      <c r="B9">
        <v>8</v>
      </c>
      <c r="C9" s="1">
        <f t="shared" si="0"/>
        <v>6076.9230769230771</v>
      </c>
      <c r="D9" s="24">
        <f t="shared" si="1"/>
        <v>0.66666666666666663</v>
      </c>
      <c r="E9" s="1">
        <f t="shared" si="2"/>
        <v>4051.2820512820513</v>
      </c>
      <c r="F9" s="3"/>
      <c r="G9" s="3"/>
    </row>
    <row r="10" spans="1:9" x14ac:dyDescent="0.25">
      <c r="A10">
        <v>2017</v>
      </c>
      <c r="B10">
        <v>9</v>
      </c>
      <c r="C10" s="1">
        <f t="shared" si="0"/>
        <v>6076.9230769230771</v>
      </c>
      <c r="D10" s="24">
        <f t="shared" si="1"/>
        <v>0.75</v>
      </c>
      <c r="E10" s="1">
        <f t="shared" si="2"/>
        <v>4557.6923076923076</v>
      </c>
      <c r="F10" s="3"/>
      <c r="G10" s="3"/>
    </row>
    <row r="11" spans="1:9" x14ac:dyDescent="0.25">
      <c r="A11">
        <v>2017</v>
      </c>
      <c r="B11">
        <v>10</v>
      </c>
      <c r="C11" s="1">
        <f t="shared" si="0"/>
        <v>6076.9230769230771</v>
      </c>
      <c r="D11" s="24">
        <f t="shared" si="1"/>
        <v>0.83333333333333337</v>
      </c>
      <c r="E11" s="1">
        <f t="shared" si="2"/>
        <v>5064.1025641025644</v>
      </c>
      <c r="F11" s="3"/>
      <c r="G11" s="3"/>
      <c r="H11" s="1"/>
      <c r="I11" s="1"/>
    </row>
    <row r="12" spans="1:9" x14ac:dyDescent="0.25">
      <c r="A12">
        <v>2017</v>
      </c>
      <c r="B12">
        <v>11</v>
      </c>
      <c r="C12" s="1">
        <f t="shared" si="0"/>
        <v>6076.9230769230771</v>
      </c>
      <c r="D12" s="24">
        <f t="shared" si="1"/>
        <v>0.91666666666666663</v>
      </c>
      <c r="E12" s="1">
        <f t="shared" si="2"/>
        <v>5570.5128205128203</v>
      </c>
      <c r="F12" s="3"/>
      <c r="G12" s="3"/>
    </row>
    <row r="13" spans="1:9" x14ac:dyDescent="0.25">
      <c r="A13">
        <v>2017</v>
      </c>
      <c r="B13">
        <v>12</v>
      </c>
      <c r="C13" s="1">
        <f t="shared" si="0"/>
        <v>6076.9230769230771</v>
      </c>
      <c r="D13" s="24">
        <f t="shared" si="1"/>
        <v>1</v>
      </c>
      <c r="E13" s="1">
        <f t="shared" si="2"/>
        <v>6076.9230769230771</v>
      </c>
      <c r="F13" s="3"/>
      <c r="G13" s="3">
        <f>SUM(C2:C13)</f>
        <v>72923.076923076922</v>
      </c>
      <c r="H13" s="3">
        <f>SUM(D2:D13)</f>
        <v>6.5</v>
      </c>
      <c r="I13" s="3">
        <f>SUM(E2:E13)</f>
        <v>39500</v>
      </c>
    </row>
    <row r="14" spans="1:9" ht="14.45" x14ac:dyDescent="0.3">
      <c r="A14">
        <f t="shared" ref="A14:A25" si="3">A2+1</f>
        <v>2018</v>
      </c>
      <c r="B14">
        <f t="shared" ref="B14:B25" si="4">B2</f>
        <v>1</v>
      </c>
      <c r="C14" s="1">
        <f>$H$2/12</f>
        <v>6583.333333333333</v>
      </c>
      <c r="D14" s="24">
        <v>1</v>
      </c>
      <c r="E14" s="1">
        <f t="shared" si="2"/>
        <v>6583.333333333333</v>
      </c>
      <c r="F14" s="3"/>
      <c r="G14" s="3"/>
    </row>
    <row r="15" spans="1:9" ht="14.45" x14ac:dyDescent="0.3">
      <c r="A15">
        <f t="shared" si="3"/>
        <v>2018</v>
      </c>
      <c r="B15">
        <f t="shared" si="4"/>
        <v>2</v>
      </c>
      <c r="C15" s="1">
        <f>$H$2/12</f>
        <v>6583.333333333333</v>
      </c>
      <c r="D15" s="24">
        <v>1</v>
      </c>
      <c r="E15" s="1">
        <f t="shared" si="2"/>
        <v>6583.333333333333</v>
      </c>
      <c r="F15" s="3"/>
      <c r="G15" s="3"/>
    </row>
    <row r="16" spans="1:9" ht="14.45" x14ac:dyDescent="0.3">
      <c r="A16">
        <f t="shared" si="3"/>
        <v>2018</v>
      </c>
      <c r="B16">
        <f t="shared" si="4"/>
        <v>3</v>
      </c>
      <c r="C16" s="1">
        <f t="shared" ref="C16:C25" si="5">$H$2/12</f>
        <v>6583.333333333333</v>
      </c>
      <c r="D16" s="24">
        <v>1</v>
      </c>
      <c r="E16" s="1">
        <f t="shared" si="2"/>
        <v>6583.333333333333</v>
      </c>
      <c r="F16" s="3"/>
      <c r="G16" s="3"/>
    </row>
    <row r="17" spans="1:9" ht="14.45" x14ac:dyDescent="0.3">
      <c r="A17">
        <f t="shared" si="3"/>
        <v>2018</v>
      </c>
      <c r="B17">
        <f t="shared" si="4"/>
        <v>4</v>
      </c>
      <c r="C17" s="1">
        <f t="shared" si="5"/>
        <v>6583.333333333333</v>
      </c>
      <c r="D17" s="24">
        <v>1</v>
      </c>
      <c r="E17" s="1">
        <f t="shared" si="2"/>
        <v>6583.333333333333</v>
      </c>
      <c r="F17" s="3"/>
      <c r="G17" s="3"/>
    </row>
    <row r="18" spans="1:9" ht="14.45" x14ac:dyDescent="0.3">
      <c r="A18">
        <f t="shared" si="3"/>
        <v>2018</v>
      </c>
      <c r="B18">
        <f t="shared" si="4"/>
        <v>5</v>
      </c>
      <c r="C18" s="1">
        <f t="shared" si="5"/>
        <v>6583.333333333333</v>
      </c>
      <c r="D18" s="24">
        <v>1</v>
      </c>
      <c r="E18" s="1">
        <f t="shared" si="2"/>
        <v>6583.333333333333</v>
      </c>
      <c r="F18" s="3"/>
      <c r="G18" s="3"/>
    </row>
    <row r="19" spans="1:9" x14ac:dyDescent="0.25">
      <c r="A19">
        <f t="shared" si="3"/>
        <v>2018</v>
      </c>
      <c r="B19">
        <f t="shared" si="4"/>
        <v>6</v>
      </c>
      <c r="C19" s="1">
        <f t="shared" si="5"/>
        <v>6583.333333333333</v>
      </c>
      <c r="D19" s="24">
        <v>1</v>
      </c>
      <c r="E19" s="1">
        <f t="shared" si="2"/>
        <v>6583.333333333333</v>
      </c>
      <c r="F19" s="3"/>
      <c r="G19" s="3"/>
    </row>
    <row r="20" spans="1:9" x14ac:dyDescent="0.25">
      <c r="A20">
        <f t="shared" si="3"/>
        <v>2018</v>
      </c>
      <c r="B20">
        <f t="shared" si="4"/>
        <v>7</v>
      </c>
      <c r="C20" s="1">
        <f t="shared" si="5"/>
        <v>6583.333333333333</v>
      </c>
      <c r="D20" s="24">
        <v>1</v>
      </c>
      <c r="E20" s="1">
        <f t="shared" si="2"/>
        <v>6583.333333333333</v>
      </c>
      <c r="F20" s="3"/>
      <c r="G20" s="3"/>
    </row>
    <row r="21" spans="1:9" x14ac:dyDescent="0.25">
      <c r="A21">
        <f t="shared" si="3"/>
        <v>2018</v>
      </c>
      <c r="B21">
        <f t="shared" si="4"/>
        <v>8</v>
      </c>
      <c r="C21" s="1">
        <f t="shared" si="5"/>
        <v>6583.333333333333</v>
      </c>
      <c r="D21" s="24">
        <v>1</v>
      </c>
      <c r="E21" s="1">
        <f t="shared" si="2"/>
        <v>6583.333333333333</v>
      </c>
      <c r="F21" s="3"/>
      <c r="G21" s="3"/>
    </row>
    <row r="22" spans="1:9" x14ac:dyDescent="0.25">
      <c r="A22">
        <f t="shared" si="3"/>
        <v>2018</v>
      </c>
      <c r="B22">
        <f t="shared" si="4"/>
        <v>9</v>
      </c>
      <c r="C22" s="1">
        <f t="shared" si="5"/>
        <v>6583.333333333333</v>
      </c>
      <c r="D22" s="24">
        <v>1</v>
      </c>
      <c r="E22" s="1">
        <f t="shared" si="2"/>
        <v>6583.333333333333</v>
      </c>
      <c r="F22" s="3"/>
      <c r="G22" s="3"/>
    </row>
    <row r="23" spans="1:9" x14ac:dyDescent="0.25">
      <c r="A23">
        <f t="shared" si="3"/>
        <v>2018</v>
      </c>
      <c r="B23">
        <f t="shared" si="4"/>
        <v>10</v>
      </c>
      <c r="C23" s="1">
        <f t="shared" si="5"/>
        <v>6583.333333333333</v>
      </c>
      <c r="D23" s="24">
        <v>1</v>
      </c>
      <c r="E23" s="1">
        <f t="shared" si="2"/>
        <v>6583.333333333333</v>
      </c>
      <c r="F23" s="3"/>
      <c r="G23" s="3"/>
    </row>
    <row r="24" spans="1:9" x14ac:dyDescent="0.25">
      <c r="A24">
        <f t="shared" si="3"/>
        <v>2018</v>
      </c>
      <c r="B24">
        <f t="shared" si="4"/>
        <v>11</v>
      </c>
      <c r="C24" s="1">
        <f t="shared" si="5"/>
        <v>6583.333333333333</v>
      </c>
      <c r="D24" s="24">
        <v>1</v>
      </c>
      <c r="E24" s="1">
        <f t="shared" si="2"/>
        <v>6583.333333333333</v>
      </c>
      <c r="F24" s="3"/>
      <c r="G24" s="3"/>
    </row>
    <row r="25" spans="1:9" x14ac:dyDescent="0.25">
      <c r="A25">
        <f t="shared" si="3"/>
        <v>2018</v>
      </c>
      <c r="B25">
        <f t="shared" si="4"/>
        <v>12</v>
      </c>
      <c r="C25" s="1">
        <f t="shared" si="5"/>
        <v>6583.333333333333</v>
      </c>
      <c r="D25" s="24">
        <v>1</v>
      </c>
      <c r="E25" s="1">
        <f t="shared" si="2"/>
        <v>6583.333333333333</v>
      </c>
      <c r="F25" s="3"/>
      <c r="G25" s="3">
        <f>SUM(C14:C25)</f>
        <v>79000</v>
      </c>
      <c r="H25" s="3">
        <f>SUM(D14:D25)</f>
        <v>12</v>
      </c>
      <c r="I25" s="3">
        <f>SUM(E14:E25)</f>
        <v>79000</v>
      </c>
    </row>
    <row r="26" spans="1:9" x14ac:dyDescent="0.25">
      <c r="C26" s="1">
        <f>SUM(C2:C13)</f>
        <v>72923.076923076922</v>
      </c>
      <c r="E26" s="1">
        <f>SUM(E2:E13)</f>
        <v>39500</v>
      </c>
    </row>
    <row r="27" spans="1:9" x14ac:dyDescent="0.25">
      <c r="C27" s="1"/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I27" sqref="I27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25" width="9.140625" style="23"/>
  </cols>
  <sheetData>
    <row r="1" spans="1:9" x14ac:dyDescent="0.25">
      <c r="A1" t="s">
        <v>27</v>
      </c>
      <c r="B1" t="s">
        <v>28</v>
      </c>
      <c r="C1" t="s">
        <v>29</v>
      </c>
      <c r="H1" s="23" t="s">
        <v>134</v>
      </c>
      <c r="I1" s="23" t="s">
        <v>135</v>
      </c>
    </row>
    <row r="2" spans="1:9" x14ac:dyDescent="0.25">
      <c r="A2">
        <v>2018</v>
      </c>
      <c r="B2">
        <v>1</v>
      </c>
      <c r="C2" s="1">
        <f>+$I$6</f>
        <v>5064.1025641025644</v>
      </c>
      <c r="D2" s="24">
        <f>B2/12</f>
        <v>8.3333333333333329E-2</v>
      </c>
      <c r="E2" s="1">
        <f>C2*D2</f>
        <v>422.008547008547</v>
      </c>
      <c r="H2" s="1">
        <f>+'Forecasted Targets'!I16</f>
        <v>65833.333333333328</v>
      </c>
      <c r="I2" s="1">
        <f>H2/2</f>
        <v>32916.666666666664</v>
      </c>
    </row>
    <row r="3" spans="1:9" x14ac:dyDescent="0.25">
      <c r="A3">
        <v>2018</v>
      </c>
      <c r="B3">
        <v>2</v>
      </c>
      <c r="C3" s="1">
        <f t="shared" ref="C3:C13" si="0">+$I$6</f>
        <v>5064.1025641025644</v>
      </c>
      <c r="D3" s="24">
        <f t="shared" ref="D3:D13" si="1">B3/12</f>
        <v>0.16666666666666666</v>
      </c>
      <c r="E3" s="1">
        <f t="shared" ref="E3:E25" si="2">C3*D3</f>
        <v>844.017094017094</v>
      </c>
      <c r="F3" s="3"/>
      <c r="G3" s="3"/>
      <c r="H3" s="1">
        <v>12</v>
      </c>
      <c r="I3" s="1">
        <v>12</v>
      </c>
    </row>
    <row r="4" spans="1:9" x14ac:dyDescent="0.25">
      <c r="A4">
        <v>2018</v>
      </c>
      <c r="B4">
        <v>3</v>
      </c>
      <c r="C4" s="1">
        <f t="shared" si="0"/>
        <v>5064.1025641025644</v>
      </c>
      <c r="D4" s="24">
        <f t="shared" si="1"/>
        <v>0.25</v>
      </c>
      <c r="E4" s="1">
        <f t="shared" si="2"/>
        <v>1266.0256410256411</v>
      </c>
      <c r="F4" s="3"/>
      <c r="G4" s="3"/>
      <c r="H4" s="1">
        <f>H2*H3</f>
        <v>790000</v>
      </c>
      <c r="I4" s="1">
        <f>I2*I3</f>
        <v>395000</v>
      </c>
    </row>
    <row r="5" spans="1:9" x14ac:dyDescent="0.25">
      <c r="A5">
        <v>2018</v>
      </c>
      <c r="B5">
        <v>4</v>
      </c>
      <c r="C5" s="1">
        <f t="shared" si="0"/>
        <v>5064.1025641025644</v>
      </c>
      <c r="D5" s="24">
        <f t="shared" si="1"/>
        <v>0.33333333333333331</v>
      </c>
      <c r="E5" s="1">
        <f t="shared" si="2"/>
        <v>1688.034188034188</v>
      </c>
      <c r="F5" s="3"/>
      <c r="G5" s="3"/>
      <c r="H5" s="23">
        <v>78</v>
      </c>
      <c r="I5" s="23">
        <v>78</v>
      </c>
    </row>
    <row r="6" spans="1:9" x14ac:dyDescent="0.25">
      <c r="A6">
        <v>2018</v>
      </c>
      <c r="B6">
        <v>5</v>
      </c>
      <c r="C6" s="1">
        <f t="shared" si="0"/>
        <v>5064.1025641025644</v>
      </c>
      <c r="D6" s="24">
        <f t="shared" si="1"/>
        <v>0.41666666666666669</v>
      </c>
      <c r="E6" s="1">
        <f t="shared" si="2"/>
        <v>2110.0427350427353</v>
      </c>
      <c r="F6" s="3"/>
      <c r="G6" s="3"/>
      <c r="H6" s="1">
        <f>H4/H5</f>
        <v>10128.205128205129</v>
      </c>
      <c r="I6" s="1">
        <f>I4/I5</f>
        <v>5064.1025641025644</v>
      </c>
    </row>
    <row r="7" spans="1:9" x14ac:dyDescent="0.25">
      <c r="A7">
        <v>2018</v>
      </c>
      <c r="B7">
        <v>6</v>
      </c>
      <c r="C7" s="1">
        <f t="shared" si="0"/>
        <v>5064.1025641025644</v>
      </c>
      <c r="D7" s="24">
        <f t="shared" si="1"/>
        <v>0.5</v>
      </c>
      <c r="E7" s="1">
        <f t="shared" si="2"/>
        <v>2532.0512820512822</v>
      </c>
      <c r="F7" s="3"/>
      <c r="G7" s="3"/>
    </row>
    <row r="8" spans="1:9" x14ac:dyDescent="0.25">
      <c r="A8">
        <v>2018</v>
      </c>
      <c r="B8">
        <v>7</v>
      </c>
      <c r="C8" s="1">
        <f t="shared" si="0"/>
        <v>5064.1025641025644</v>
      </c>
      <c r="D8" s="24">
        <f t="shared" si="1"/>
        <v>0.58333333333333337</v>
      </c>
      <c r="E8" s="1">
        <f t="shared" si="2"/>
        <v>2954.0598290598296</v>
      </c>
      <c r="F8" s="3"/>
      <c r="G8" s="3"/>
    </row>
    <row r="9" spans="1:9" x14ac:dyDescent="0.25">
      <c r="A9">
        <v>2018</v>
      </c>
      <c r="B9">
        <v>8</v>
      </c>
      <c r="C9" s="1">
        <f t="shared" si="0"/>
        <v>5064.1025641025644</v>
      </c>
      <c r="D9" s="24">
        <f t="shared" si="1"/>
        <v>0.66666666666666663</v>
      </c>
      <c r="E9" s="1">
        <f t="shared" si="2"/>
        <v>3376.068376068376</v>
      </c>
      <c r="F9" s="3"/>
      <c r="G9" s="3"/>
    </row>
    <row r="10" spans="1:9" x14ac:dyDescent="0.25">
      <c r="A10">
        <v>2018</v>
      </c>
      <c r="B10">
        <v>9</v>
      </c>
      <c r="C10" s="1">
        <f t="shared" si="0"/>
        <v>5064.1025641025644</v>
      </c>
      <c r="D10" s="24">
        <f t="shared" si="1"/>
        <v>0.75</v>
      </c>
      <c r="E10" s="1">
        <f t="shared" si="2"/>
        <v>3798.0769230769233</v>
      </c>
      <c r="F10" s="3"/>
      <c r="G10" s="3"/>
    </row>
    <row r="11" spans="1:9" x14ac:dyDescent="0.25">
      <c r="A11">
        <v>2018</v>
      </c>
      <c r="B11">
        <v>10</v>
      </c>
      <c r="C11" s="1">
        <f t="shared" si="0"/>
        <v>5064.1025641025644</v>
      </c>
      <c r="D11" s="24">
        <f t="shared" si="1"/>
        <v>0.83333333333333337</v>
      </c>
      <c r="E11" s="1">
        <f t="shared" si="2"/>
        <v>4220.0854700854707</v>
      </c>
      <c r="F11" s="3"/>
      <c r="G11" s="3"/>
      <c r="H11" s="1"/>
      <c r="I11" s="1"/>
    </row>
    <row r="12" spans="1:9" x14ac:dyDescent="0.25">
      <c r="A12">
        <v>2018</v>
      </c>
      <c r="B12">
        <v>11</v>
      </c>
      <c r="C12" s="1">
        <f t="shared" si="0"/>
        <v>5064.1025641025644</v>
      </c>
      <c r="D12" s="24">
        <f t="shared" si="1"/>
        <v>0.91666666666666663</v>
      </c>
      <c r="E12" s="1">
        <f t="shared" si="2"/>
        <v>4642.0940170940175</v>
      </c>
      <c r="F12" s="3"/>
      <c r="G12" s="3"/>
    </row>
    <row r="13" spans="1:9" x14ac:dyDescent="0.25">
      <c r="A13">
        <v>2018</v>
      </c>
      <c r="B13">
        <v>12</v>
      </c>
      <c r="C13" s="1">
        <f t="shared" si="0"/>
        <v>5064.1025641025644</v>
      </c>
      <c r="D13" s="24">
        <f t="shared" si="1"/>
        <v>1</v>
      </c>
      <c r="E13" s="1">
        <f t="shared" si="2"/>
        <v>5064.1025641025644</v>
      </c>
      <c r="F13" s="3"/>
      <c r="G13" s="3">
        <f>SUM(C2:C13)</f>
        <v>60769.230769230759</v>
      </c>
      <c r="H13" s="3">
        <f>SUM(D2:D13)</f>
        <v>6.5</v>
      </c>
      <c r="I13" s="3">
        <f>SUM(E2:E13)</f>
        <v>32916.666666666664</v>
      </c>
    </row>
    <row r="14" spans="1:9" ht="14.45" x14ac:dyDescent="0.3">
      <c r="A14">
        <f t="shared" ref="A14:A25" si="3">A2+1</f>
        <v>2019</v>
      </c>
      <c r="B14">
        <f t="shared" ref="B14:B25" si="4">B2</f>
        <v>1</v>
      </c>
      <c r="C14" s="1">
        <f>$H$2/12</f>
        <v>5486.1111111111104</v>
      </c>
      <c r="D14" s="24">
        <v>1</v>
      </c>
      <c r="E14" s="1">
        <f t="shared" si="2"/>
        <v>5486.1111111111104</v>
      </c>
      <c r="F14" s="3"/>
      <c r="G14" s="3"/>
    </row>
    <row r="15" spans="1:9" ht="14.45" x14ac:dyDescent="0.3">
      <c r="A15">
        <f t="shared" si="3"/>
        <v>2019</v>
      </c>
      <c r="B15">
        <f t="shared" si="4"/>
        <v>2</v>
      </c>
      <c r="C15" s="1">
        <f>$H$2/12</f>
        <v>5486.1111111111104</v>
      </c>
      <c r="D15" s="24">
        <v>1</v>
      </c>
      <c r="E15" s="1">
        <f t="shared" si="2"/>
        <v>5486.1111111111104</v>
      </c>
      <c r="F15" s="3"/>
      <c r="G15" s="3"/>
    </row>
    <row r="16" spans="1:9" ht="14.45" x14ac:dyDescent="0.3">
      <c r="A16">
        <f t="shared" si="3"/>
        <v>2019</v>
      </c>
      <c r="B16">
        <f t="shared" si="4"/>
        <v>3</v>
      </c>
      <c r="C16" s="1">
        <f t="shared" ref="C16:C25" si="5">$H$2/12</f>
        <v>5486.1111111111104</v>
      </c>
      <c r="D16" s="24">
        <v>1</v>
      </c>
      <c r="E16" s="1">
        <f t="shared" si="2"/>
        <v>5486.1111111111104</v>
      </c>
      <c r="F16" s="3"/>
      <c r="G16" s="3"/>
    </row>
    <row r="17" spans="1:9" ht="14.45" x14ac:dyDescent="0.3">
      <c r="A17">
        <f t="shared" si="3"/>
        <v>2019</v>
      </c>
      <c r="B17">
        <f t="shared" si="4"/>
        <v>4</v>
      </c>
      <c r="C17" s="1">
        <f t="shared" si="5"/>
        <v>5486.1111111111104</v>
      </c>
      <c r="D17" s="24">
        <v>1</v>
      </c>
      <c r="E17" s="1">
        <f t="shared" si="2"/>
        <v>5486.1111111111104</v>
      </c>
      <c r="F17" s="3"/>
      <c r="G17" s="3"/>
    </row>
    <row r="18" spans="1:9" ht="14.45" x14ac:dyDescent="0.3">
      <c r="A18">
        <f t="shared" si="3"/>
        <v>2019</v>
      </c>
      <c r="B18">
        <f t="shared" si="4"/>
        <v>5</v>
      </c>
      <c r="C18" s="1">
        <f t="shared" si="5"/>
        <v>5486.1111111111104</v>
      </c>
      <c r="D18" s="24">
        <v>1</v>
      </c>
      <c r="E18" s="1">
        <f t="shared" si="2"/>
        <v>5486.1111111111104</v>
      </c>
      <c r="F18" s="3"/>
      <c r="G18" s="3"/>
    </row>
    <row r="19" spans="1:9" x14ac:dyDescent="0.25">
      <c r="A19">
        <f t="shared" si="3"/>
        <v>2019</v>
      </c>
      <c r="B19">
        <f t="shared" si="4"/>
        <v>6</v>
      </c>
      <c r="C19" s="1">
        <f t="shared" si="5"/>
        <v>5486.1111111111104</v>
      </c>
      <c r="D19" s="24">
        <v>1</v>
      </c>
      <c r="E19" s="1">
        <f t="shared" si="2"/>
        <v>5486.1111111111104</v>
      </c>
      <c r="F19" s="3"/>
      <c r="G19" s="3"/>
    </row>
    <row r="20" spans="1:9" x14ac:dyDescent="0.25">
      <c r="A20">
        <f t="shared" si="3"/>
        <v>2019</v>
      </c>
      <c r="B20">
        <f t="shared" si="4"/>
        <v>7</v>
      </c>
      <c r="C20" s="1">
        <f t="shared" si="5"/>
        <v>5486.1111111111104</v>
      </c>
      <c r="D20" s="24">
        <v>1</v>
      </c>
      <c r="E20" s="1">
        <f t="shared" si="2"/>
        <v>5486.1111111111104</v>
      </c>
      <c r="F20" s="3"/>
      <c r="G20" s="3"/>
    </row>
    <row r="21" spans="1:9" x14ac:dyDescent="0.25">
      <c r="A21">
        <f t="shared" si="3"/>
        <v>2019</v>
      </c>
      <c r="B21">
        <f t="shared" si="4"/>
        <v>8</v>
      </c>
      <c r="C21" s="1">
        <f t="shared" si="5"/>
        <v>5486.1111111111104</v>
      </c>
      <c r="D21" s="24">
        <v>1</v>
      </c>
      <c r="E21" s="1">
        <f t="shared" si="2"/>
        <v>5486.1111111111104</v>
      </c>
      <c r="F21" s="3"/>
      <c r="G21" s="3"/>
    </row>
    <row r="22" spans="1:9" x14ac:dyDescent="0.25">
      <c r="A22">
        <f t="shared" si="3"/>
        <v>2019</v>
      </c>
      <c r="B22">
        <f t="shared" si="4"/>
        <v>9</v>
      </c>
      <c r="C22" s="1">
        <f t="shared" si="5"/>
        <v>5486.1111111111104</v>
      </c>
      <c r="D22" s="24">
        <v>1</v>
      </c>
      <c r="E22" s="1">
        <f t="shared" si="2"/>
        <v>5486.1111111111104</v>
      </c>
      <c r="F22" s="3"/>
      <c r="G22" s="3"/>
    </row>
    <row r="23" spans="1:9" x14ac:dyDescent="0.25">
      <c r="A23">
        <f t="shared" si="3"/>
        <v>2019</v>
      </c>
      <c r="B23">
        <f t="shared" si="4"/>
        <v>10</v>
      </c>
      <c r="C23" s="1">
        <f t="shared" si="5"/>
        <v>5486.1111111111104</v>
      </c>
      <c r="D23" s="24">
        <v>1</v>
      </c>
      <c r="E23" s="1">
        <f t="shared" si="2"/>
        <v>5486.1111111111104</v>
      </c>
      <c r="F23" s="3"/>
      <c r="G23" s="3"/>
    </row>
    <row r="24" spans="1:9" x14ac:dyDescent="0.25">
      <c r="A24">
        <f t="shared" si="3"/>
        <v>2019</v>
      </c>
      <c r="B24">
        <f t="shared" si="4"/>
        <v>11</v>
      </c>
      <c r="C24" s="1">
        <f t="shared" si="5"/>
        <v>5486.1111111111104</v>
      </c>
      <c r="D24" s="24">
        <v>1</v>
      </c>
      <c r="E24" s="1">
        <f t="shared" si="2"/>
        <v>5486.1111111111104</v>
      </c>
      <c r="F24" s="3"/>
      <c r="G24" s="3"/>
    </row>
    <row r="25" spans="1:9" x14ac:dyDescent="0.25">
      <c r="A25">
        <f t="shared" si="3"/>
        <v>2019</v>
      </c>
      <c r="B25">
        <f t="shared" si="4"/>
        <v>12</v>
      </c>
      <c r="C25" s="1">
        <f t="shared" si="5"/>
        <v>5486.1111111111104</v>
      </c>
      <c r="D25" s="24">
        <v>1</v>
      </c>
      <c r="E25" s="1">
        <f t="shared" si="2"/>
        <v>5486.1111111111104</v>
      </c>
      <c r="F25" s="3"/>
      <c r="G25" s="3">
        <f>SUM(C14:C25)</f>
        <v>65833.333333333328</v>
      </c>
      <c r="H25" s="3">
        <f>SUM(D14:D25)</f>
        <v>12</v>
      </c>
      <c r="I25" s="3">
        <f>SUM(E14:E25)</f>
        <v>65833.333333333328</v>
      </c>
    </row>
    <row r="26" spans="1:9" x14ac:dyDescent="0.25">
      <c r="C26" s="1"/>
    </row>
    <row r="27" spans="1:9" x14ac:dyDescent="0.25">
      <c r="C27" s="1"/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J27" sqref="J27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25" width="9.140625" style="23"/>
  </cols>
  <sheetData>
    <row r="1" spans="1:9" x14ac:dyDescent="0.25">
      <c r="A1" t="s">
        <v>27</v>
      </c>
      <c r="B1" t="s">
        <v>28</v>
      </c>
      <c r="C1" t="s">
        <v>29</v>
      </c>
      <c r="H1" s="23" t="s">
        <v>134</v>
      </c>
      <c r="I1" s="23" t="s">
        <v>135</v>
      </c>
    </row>
    <row r="2" spans="1:9" x14ac:dyDescent="0.25">
      <c r="A2">
        <v>2019</v>
      </c>
      <c r="B2">
        <v>1</v>
      </c>
      <c r="C2" s="1">
        <f>+$I$6</f>
        <v>5064.1025641025644</v>
      </c>
      <c r="D2" s="24">
        <f>B2/12</f>
        <v>8.3333333333333329E-2</v>
      </c>
      <c r="E2" s="1">
        <f>C2*D2</f>
        <v>422.008547008547</v>
      </c>
      <c r="H2" s="1">
        <f>+'Forecasted Targets'!J17</f>
        <v>65833.333333333328</v>
      </c>
      <c r="I2" s="1">
        <f>H2/2</f>
        <v>32916.666666666664</v>
      </c>
    </row>
    <row r="3" spans="1:9" x14ac:dyDescent="0.25">
      <c r="A3">
        <v>2019</v>
      </c>
      <c r="B3">
        <v>2</v>
      </c>
      <c r="C3" s="1">
        <f t="shared" ref="C3:C13" si="0">+$I$6</f>
        <v>5064.1025641025644</v>
      </c>
      <c r="D3" s="24">
        <f t="shared" ref="D3:D13" si="1">B3/12</f>
        <v>0.16666666666666666</v>
      </c>
      <c r="E3" s="1">
        <f t="shared" ref="E3:E25" si="2">C3*D3</f>
        <v>844.017094017094</v>
      </c>
      <c r="F3" s="3"/>
      <c r="G3" s="3"/>
      <c r="H3" s="1">
        <v>12</v>
      </c>
      <c r="I3" s="1">
        <v>12</v>
      </c>
    </row>
    <row r="4" spans="1:9" x14ac:dyDescent="0.25">
      <c r="A4">
        <v>2019</v>
      </c>
      <c r="B4">
        <v>3</v>
      </c>
      <c r="C4" s="1">
        <f t="shared" si="0"/>
        <v>5064.1025641025644</v>
      </c>
      <c r="D4" s="24">
        <f t="shared" si="1"/>
        <v>0.25</v>
      </c>
      <c r="E4" s="1">
        <f t="shared" si="2"/>
        <v>1266.0256410256411</v>
      </c>
      <c r="F4" s="3"/>
      <c r="G4" s="3"/>
      <c r="H4" s="1">
        <f>H2*H3</f>
        <v>790000</v>
      </c>
      <c r="I4" s="1">
        <f>I2*I3</f>
        <v>395000</v>
      </c>
    </row>
    <row r="5" spans="1:9" x14ac:dyDescent="0.25">
      <c r="A5">
        <v>2019</v>
      </c>
      <c r="B5">
        <v>4</v>
      </c>
      <c r="C5" s="1">
        <f t="shared" si="0"/>
        <v>5064.1025641025644</v>
      </c>
      <c r="D5" s="24">
        <f t="shared" si="1"/>
        <v>0.33333333333333331</v>
      </c>
      <c r="E5" s="1">
        <f t="shared" si="2"/>
        <v>1688.034188034188</v>
      </c>
      <c r="F5" s="3"/>
      <c r="G5" s="3"/>
      <c r="H5" s="23">
        <v>78</v>
      </c>
      <c r="I5" s="23">
        <v>78</v>
      </c>
    </row>
    <row r="6" spans="1:9" x14ac:dyDescent="0.25">
      <c r="A6">
        <v>2019</v>
      </c>
      <c r="B6">
        <v>5</v>
      </c>
      <c r="C6" s="1">
        <f t="shared" si="0"/>
        <v>5064.1025641025644</v>
      </c>
      <c r="D6" s="24">
        <f t="shared" si="1"/>
        <v>0.41666666666666669</v>
      </c>
      <c r="E6" s="1">
        <f t="shared" si="2"/>
        <v>2110.0427350427353</v>
      </c>
      <c r="F6" s="3"/>
      <c r="G6" s="3"/>
      <c r="H6" s="1">
        <f>H4/H5</f>
        <v>10128.205128205129</v>
      </c>
      <c r="I6" s="1">
        <f>I4/I5</f>
        <v>5064.1025641025644</v>
      </c>
    </row>
    <row r="7" spans="1:9" x14ac:dyDescent="0.25">
      <c r="A7">
        <v>2019</v>
      </c>
      <c r="B7">
        <v>6</v>
      </c>
      <c r="C7" s="1">
        <f t="shared" si="0"/>
        <v>5064.1025641025644</v>
      </c>
      <c r="D7" s="24">
        <f t="shared" si="1"/>
        <v>0.5</v>
      </c>
      <c r="E7" s="1">
        <f t="shared" si="2"/>
        <v>2532.0512820512822</v>
      </c>
      <c r="F7" s="3"/>
      <c r="G7" s="3"/>
    </row>
    <row r="8" spans="1:9" x14ac:dyDescent="0.25">
      <c r="A8">
        <v>2019</v>
      </c>
      <c r="B8">
        <v>7</v>
      </c>
      <c r="C8" s="1">
        <f t="shared" si="0"/>
        <v>5064.1025641025644</v>
      </c>
      <c r="D8" s="24">
        <f t="shared" si="1"/>
        <v>0.58333333333333337</v>
      </c>
      <c r="E8" s="1">
        <f t="shared" si="2"/>
        <v>2954.0598290598296</v>
      </c>
      <c r="F8" s="3"/>
      <c r="G8" s="3"/>
    </row>
    <row r="9" spans="1:9" x14ac:dyDescent="0.25">
      <c r="A9">
        <v>2019</v>
      </c>
      <c r="B9">
        <v>8</v>
      </c>
      <c r="C9" s="1">
        <f t="shared" si="0"/>
        <v>5064.1025641025644</v>
      </c>
      <c r="D9" s="24">
        <f t="shared" si="1"/>
        <v>0.66666666666666663</v>
      </c>
      <c r="E9" s="1">
        <f t="shared" si="2"/>
        <v>3376.068376068376</v>
      </c>
      <c r="F9" s="3"/>
      <c r="G9" s="3"/>
    </row>
    <row r="10" spans="1:9" x14ac:dyDescent="0.25">
      <c r="A10">
        <v>2019</v>
      </c>
      <c r="B10">
        <v>9</v>
      </c>
      <c r="C10" s="1">
        <f t="shared" si="0"/>
        <v>5064.1025641025644</v>
      </c>
      <c r="D10" s="24">
        <f t="shared" si="1"/>
        <v>0.75</v>
      </c>
      <c r="E10" s="1">
        <f t="shared" si="2"/>
        <v>3798.0769230769233</v>
      </c>
      <c r="F10" s="3"/>
      <c r="G10" s="3"/>
    </row>
    <row r="11" spans="1:9" x14ac:dyDescent="0.25">
      <c r="A11">
        <v>2019</v>
      </c>
      <c r="B11">
        <v>10</v>
      </c>
      <c r="C11" s="1">
        <f t="shared" si="0"/>
        <v>5064.1025641025644</v>
      </c>
      <c r="D11" s="24">
        <f t="shared" si="1"/>
        <v>0.83333333333333337</v>
      </c>
      <c r="E11" s="1">
        <f t="shared" si="2"/>
        <v>4220.0854700854707</v>
      </c>
      <c r="F11" s="3"/>
      <c r="G11" s="3"/>
      <c r="H11" s="1"/>
      <c r="I11" s="1"/>
    </row>
    <row r="12" spans="1:9" x14ac:dyDescent="0.25">
      <c r="A12">
        <v>2019</v>
      </c>
      <c r="B12">
        <v>11</v>
      </c>
      <c r="C12" s="1">
        <f t="shared" si="0"/>
        <v>5064.1025641025644</v>
      </c>
      <c r="D12" s="24">
        <f t="shared" si="1"/>
        <v>0.91666666666666663</v>
      </c>
      <c r="E12" s="1">
        <f t="shared" si="2"/>
        <v>4642.0940170940175</v>
      </c>
      <c r="F12" s="3"/>
      <c r="G12" s="3"/>
    </row>
    <row r="13" spans="1:9" x14ac:dyDescent="0.25">
      <c r="A13">
        <v>2019</v>
      </c>
      <c r="B13">
        <v>12</v>
      </c>
      <c r="C13" s="1">
        <f t="shared" si="0"/>
        <v>5064.1025641025644</v>
      </c>
      <c r="D13" s="24">
        <f t="shared" si="1"/>
        <v>1</v>
      </c>
      <c r="E13" s="1">
        <f t="shared" si="2"/>
        <v>5064.1025641025644</v>
      </c>
      <c r="F13" s="3"/>
      <c r="G13" s="3">
        <f>SUM(C2:C13)</f>
        <v>60769.230769230759</v>
      </c>
      <c r="H13" s="3">
        <f>SUM(D2:D13)</f>
        <v>6.5</v>
      </c>
      <c r="I13" s="3">
        <f>SUM(E2:E13)</f>
        <v>32916.666666666664</v>
      </c>
    </row>
    <row r="14" spans="1:9" ht="14.45" x14ac:dyDescent="0.3">
      <c r="A14">
        <f t="shared" ref="A14:A25" si="3">A2+1</f>
        <v>2020</v>
      </c>
      <c r="B14">
        <f t="shared" ref="B14:B25" si="4">B2</f>
        <v>1</v>
      </c>
      <c r="C14" s="1">
        <f>$H$2/12</f>
        <v>5486.1111111111104</v>
      </c>
      <c r="D14" s="24">
        <v>1</v>
      </c>
      <c r="E14" s="1">
        <f t="shared" si="2"/>
        <v>5486.1111111111104</v>
      </c>
      <c r="F14" s="3"/>
      <c r="G14" s="3"/>
    </row>
    <row r="15" spans="1:9" ht="14.45" x14ac:dyDescent="0.3">
      <c r="A15">
        <f t="shared" si="3"/>
        <v>2020</v>
      </c>
      <c r="B15">
        <f t="shared" si="4"/>
        <v>2</v>
      </c>
      <c r="C15" s="1">
        <f>$H$2/12</f>
        <v>5486.1111111111104</v>
      </c>
      <c r="D15" s="24">
        <v>1</v>
      </c>
      <c r="E15" s="1">
        <f t="shared" si="2"/>
        <v>5486.1111111111104</v>
      </c>
      <c r="F15" s="3"/>
      <c r="G15" s="3"/>
    </row>
    <row r="16" spans="1:9" ht="14.45" x14ac:dyDescent="0.3">
      <c r="A16">
        <f t="shared" si="3"/>
        <v>2020</v>
      </c>
      <c r="B16">
        <f t="shared" si="4"/>
        <v>3</v>
      </c>
      <c r="C16" s="1">
        <f t="shared" ref="C16:C25" si="5">$H$2/12</f>
        <v>5486.1111111111104</v>
      </c>
      <c r="D16" s="24">
        <v>1</v>
      </c>
      <c r="E16" s="1">
        <f t="shared" si="2"/>
        <v>5486.1111111111104</v>
      </c>
      <c r="F16" s="3"/>
      <c r="G16" s="3"/>
    </row>
    <row r="17" spans="1:9" ht="14.45" x14ac:dyDescent="0.3">
      <c r="A17">
        <f t="shared" si="3"/>
        <v>2020</v>
      </c>
      <c r="B17">
        <f t="shared" si="4"/>
        <v>4</v>
      </c>
      <c r="C17" s="1">
        <f t="shared" si="5"/>
        <v>5486.1111111111104</v>
      </c>
      <c r="D17" s="24">
        <v>1</v>
      </c>
      <c r="E17" s="1">
        <f t="shared" si="2"/>
        <v>5486.1111111111104</v>
      </c>
      <c r="F17" s="3"/>
      <c r="G17" s="3"/>
    </row>
    <row r="18" spans="1:9" ht="14.45" x14ac:dyDescent="0.3">
      <c r="A18">
        <f t="shared" si="3"/>
        <v>2020</v>
      </c>
      <c r="B18">
        <f t="shared" si="4"/>
        <v>5</v>
      </c>
      <c r="C18" s="1">
        <f t="shared" si="5"/>
        <v>5486.1111111111104</v>
      </c>
      <c r="D18" s="24">
        <v>1</v>
      </c>
      <c r="E18" s="1">
        <f t="shared" si="2"/>
        <v>5486.1111111111104</v>
      </c>
      <c r="F18" s="3"/>
      <c r="G18" s="3"/>
    </row>
    <row r="19" spans="1:9" x14ac:dyDescent="0.25">
      <c r="A19">
        <f t="shared" si="3"/>
        <v>2020</v>
      </c>
      <c r="B19">
        <f t="shared" si="4"/>
        <v>6</v>
      </c>
      <c r="C19" s="1">
        <f t="shared" si="5"/>
        <v>5486.1111111111104</v>
      </c>
      <c r="D19" s="24">
        <v>1</v>
      </c>
      <c r="E19" s="1">
        <f t="shared" si="2"/>
        <v>5486.1111111111104</v>
      </c>
      <c r="F19" s="3"/>
      <c r="G19" s="3"/>
    </row>
    <row r="20" spans="1:9" x14ac:dyDescent="0.25">
      <c r="A20">
        <f t="shared" si="3"/>
        <v>2020</v>
      </c>
      <c r="B20">
        <f t="shared" si="4"/>
        <v>7</v>
      </c>
      <c r="C20" s="1">
        <f t="shared" si="5"/>
        <v>5486.1111111111104</v>
      </c>
      <c r="D20" s="24">
        <v>1</v>
      </c>
      <c r="E20" s="1">
        <f t="shared" si="2"/>
        <v>5486.1111111111104</v>
      </c>
      <c r="F20" s="3"/>
      <c r="G20" s="3"/>
    </row>
    <row r="21" spans="1:9" x14ac:dyDescent="0.25">
      <c r="A21">
        <f t="shared" si="3"/>
        <v>2020</v>
      </c>
      <c r="B21">
        <f t="shared" si="4"/>
        <v>8</v>
      </c>
      <c r="C21" s="1">
        <f t="shared" si="5"/>
        <v>5486.1111111111104</v>
      </c>
      <c r="D21" s="24">
        <v>1</v>
      </c>
      <c r="E21" s="1">
        <f t="shared" si="2"/>
        <v>5486.1111111111104</v>
      </c>
      <c r="F21" s="3"/>
      <c r="G21" s="3"/>
    </row>
    <row r="22" spans="1:9" x14ac:dyDescent="0.25">
      <c r="A22">
        <f t="shared" si="3"/>
        <v>2020</v>
      </c>
      <c r="B22">
        <f t="shared" si="4"/>
        <v>9</v>
      </c>
      <c r="C22" s="1">
        <f t="shared" si="5"/>
        <v>5486.1111111111104</v>
      </c>
      <c r="D22" s="24">
        <v>1</v>
      </c>
      <c r="E22" s="1">
        <f t="shared" si="2"/>
        <v>5486.1111111111104</v>
      </c>
      <c r="F22" s="3"/>
      <c r="G22" s="3"/>
    </row>
    <row r="23" spans="1:9" x14ac:dyDescent="0.25">
      <c r="A23">
        <f t="shared" si="3"/>
        <v>2020</v>
      </c>
      <c r="B23">
        <f t="shared" si="4"/>
        <v>10</v>
      </c>
      <c r="C23" s="1">
        <f t="shared" si="5"/>
        <v>5486.1111111111104</v>
      </c>
      <c r="D23" s="24">
        <v>1</v>
      </c>
      <c r="E23" s="1">
        <f t="shared" si="2"/>
        <v>5486.1111111111104</v>
      </c>
      <c r="F23" s="3"/>
      <c r="G23" s="3"/>
    </row>
    <row r="24" spans="1:9" x14ac:dyDescent="0.25">
      <c r="A24">
        <f t="shared" si="3"/>
        <v>2020</v>
      </c>
      <c r="B24">
        <f t="shared" si="4"/>
        <v>11</v>
      </c>
      <c r="C24" s="1">
        <f t="shared" si="5"/>
        <v>5486.1111111111104</v>
      </c>
      <c r="D24" s="24">
        <v>1</v>
      </c>
      <c r="E24" s="1">
        <f t="shared" si="2"/>
        <v>5486.1111111111104</v>
      </c>
      <c r="F24" s="3"/>
      <c r="G24" s="3"/>
    </row>
    <row r="25" spans="1:9" x14ac:dyDescent="0.25">
      <c r="A25">
        <f t="shared" si="3"/>
        <v>2020</v>
      </c>
      <c r="B25">
        <f t="shared" si="4"/>
        <v>12</v>
      </c>
      <c r="C25" s="1">
        <f t="shared" si="5"/>
        <v>5486.1111111111104</v>
      </c>
      <c r="D25" s="24">
        <v>1</v>
      </c>
      <c r="E25" s="1">
        <f t="shared" si="2"/>
        <v>5486.1111111111104</v>
      </c>
      <c r="F25" s="3"/>
      <c r="G25" s="3">
        <f>SUM(C14:C25)</f>
        <v>65833.333333333328</v>
      </c>
      <c r="H25" s="3">
        <f>SUM(D14:D25)</f>
        <v>12</v>
      </c>
      <c r="I25" s="3">
        <f>SUM(E14:E25)</f>
        <v>65833.333333333328</v>
      </c>
    </row>
    <row r="26" spans="1:9" x14ac:dyDescent="0.25">
      <c r="C26" s="1"/>
    </row>
    <row r="27" spans="1:9" x14ac:dyDescent="0.25">
      <c r="C27" s="1"/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H1" sqref="H1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25" width="9.140625" style="23"/>
  </cols>
  <sheetData>
    <row r="1" spans="1:9" x14ac:dyDescent="0.25">
      <c r="A1" t="s">
        <v>27</v>
      </c>
      <c r="B1" t="s">
        <v>28</v>
      </c>
      <c r="C1" t="s">
        <v>29</v>
      </c>
      <c r="H1" s="23" t="s">
        <v>134</v>
      </c>
      <c r="I1" s="23" t="s">
        <v>135</v>
      </c>
    </row>
    <row r="2" spans="1:9" x14ac:dyDescent="0.25">
      <c r="A2">
        <v>2020</v>
      </c>
      <c r="B2">
        <v>1</v>
      </c>
      <c r="C2" s="1">
        <f>+$I$6</f>
        <v>5064.1025641025644</v>
      </c>
      <c r="D2" s="24">
        <f>B2/12</f>
        <v>8.3333333333333329E-2</v>
      </c>
      <c r="E2" s="1">
        <f>C2*D2</f>
        <v>422.008547008547</v>
      </c>
      <c r="H2" s="1">
        <f>+'Forecasted Targets'!K18</f>
        <v>65833.333333333328</v>
      </c>
      <c r="I2" s="1">
        <f>H2/2</f>
        <v>32916.666666666664</v>
      </c>
    </row>
    <row r="3" spans="1:9" x14ac:dyDescent="0.25">
      <c r="A3">
        <v>2020</v>
      </c>
      <c r="B3">
        <v>2</v>
      </c>
      <c r="C3" s="1">
        <f t="shared" ref="C3:C13" si="0">+$I$6</f>
        <v>5064.1025641025644</v>
      </c>
      <c r="D3" s="24">
        <f t="shared" ref="D3:D13" si="1">B3/12</f>
        <v>0.16666666666666666</v>
      </c>
      <c r="E3" s="1">
        <f t="shared" ref="E3:E25" si="2">C3*D3</f>
        <v>844.017094017094</v>
      </c>
      <c r="F3" s="3"/>
      <c r="G3" s="3"/>
      <c r="H3" s="1">
        <v>12</v>
      </c>
      <c r="I3" s="1">
        <v>12</v>
      </c>
    </row>
    <row r="4" spans="1:9" x14ac:dyDescent="0.25">
      <c r="A4">
        <v>2020</v>
      </c>
      <c r="B4">
        <v>3</v>
      </c>
      <c r="C4" s="1">
        <f t="shared" si="0"/>
        <v>5064.1025641025644</v>
      </c>
      <c r="D4" s="24">
        <f t="shared" si="1"/>
        <v>0.25</v>
      </c>
      <c r="E4" s="1">
        <f t="shared" si="2"/>
        <v>1266.0256410256411</v>
      </c>
      <c r="F4" s="3"/>
      <c r="G4" s="3"/>
      <c r="H4" s="1">
        <f>H2*H3</f>
        <v>790000</v>
      </c>
      <c r="I4" s="1">
        <f>I2*I3</f>
        <v>395000</v>
      </c>
    </row>
    <row r="5" spans="1:9" x14ac:dyDescent="0.25">
      <c r="A5">
        <v>2020</v>
      </c>
      <c r="B5">
        <v>4</v>
      </c>
      <c r="C5" s="1">
        <f t="shared" si="0"/>
        <v>5064.1025641025644</v>
      </c>
      <c r="D5" s="24">
        <f t="shared" si="1"/>
        <v>0.33333333333333331</v>
      </c>
      <c r="E5" s="1">
        <f t="shared" si="2"/>
        <v>1688.034188034188</v>
      </c>
      <c r="F5" s="3"/>
      <c r="G5" s="3"/>
      <c r="H5" s="23">
        <v>78</v>
      </c>
      <c r="I5" s="23">
        <v>78</v>
      </c>
    </row>
    <row r="6" spans="1:9" x14ac:dyDescent="0.25">
      <c r="A6">
        <v>2020</v>
      </c>
      <c r="B6">
        <v>5</v>
      </c>
      <c r="C6" s="1">
        <f t="shared" si="0"/>
        <v>5064.1025641025644</v>
      </c>
      <c r="D6" s="24">
        <f t="shared" si="1"/>
        <v>0.41666666666666669</v>
      </c>
      <c r="E6" s="1">
        <f t="shared" si="2"/>
        <v>2110.0427350427353</v>
      </c>
      <c r="F6" s="3"/>
      <c r="G6" s="3"/>
      <c r="H6" s="1">
        <f>H4/H5</f>
        <v>10128.205128205129</v>
      </c>
      <c r="I6" s="1">
        <f>I4/I5</f>
        <v>5064.1025641025644</v>
      </c>
    </row>
    <row r="7" spans="1:9" x14ac:dyDescent="0.25">
      <c r="A7">
        <v>2020</v>
      </c>
      <c r="B7">
        <v>6</v>
      </c>
      <c r="C7" s="1">
        <f t="shared" si="0"/>
        <v>5064.1025641025644</v>
      </c>
      <c r="D7" s="24">
        <f t="shared" si="1"/>
        <v>0.5</v>
      </c>
      <c r="E7" s="1">
        <f t="shared" si="2"/>
        <v>2532.0512820512822</v>
      </c>
      <c r="F7" s="3"/>
      <c r="G7" s="3"/>
    </row>
    <row r="8" spans="1:9" x14ac:dyDescent="0.25">
      <c r="A8">
        <v>2020</v>
      </c>
      <c r="B8">
        <v>7</v>
      </c>
      <c r="C8" s="1">
        <f t="shared" si="0"/>
        <v>5064.1025641025644</v>
      </c>
      <c r="D8" s="24">
        <f t="shared" si="1"/>
        <v>0.58333333333333337</v>
      </c>
      <c r="E8" s="1">
        <f t="shared" si="2"/>
        <v>2954.0598290598296</v>
      </c>
      <c r="F8" s="3"/>
      <c r="G8" s="3"/>
    </row>
    <row r="9" spans="1:9" x14ac:dyDescent="0.25">
      <c r="A9">
        <v>2020</v>
      </c>
      <c r="B9">
        <v>8</v>
      </c>
      <c r="C9" s="1">
        <f t="shared" si="0"/>
        <v>5064.1025641025644</v>
      </c>
      <c r="D9" s="24">
        <f t="shared" si="1"/>
        <v>0.66666666666666663</v>
      </c>
      <c r="E9" s="1">
        <f t="shared" si="2"/>
        <v>3376.068376068376</v>
      </c>
      <c r="F9" s="3"/>
      <c r="G9" s="3"/>
    </row>
    <row r="10" spans="1:9" x14ac:dyDescent="0.25">
      <c r="A10">
        <v>2020</v>
      </c>
      <c r="B10">
        <v>9</v>
      </c>
      <c r="C10" s="1">
        <f t="shared" si="0"/>
        <v>5064.1025641025644</v>
      </c>
      <c r="D10" s="24">
        <f t="shared" si="1"/>
        <v>0.75</v>
      </c>
      <c r="E10" s="1">
        <f t="shared" si="2"/>
        <v>3798.0769230769233</v>
      </c>
      <c r="F10" s="3"/>
      <c r="G10" s="3"/>
    </row>
    <row r="11" spans="1:9" x14ac:dyDescent="0.25">
      <c r="A11">
        <v>2020</v>
      </c>
      <c r="B11">
        <v>10</v>
      </c>
      <c r="C11" s="1">
        <f t="shared" si="0"/>
        <v>5064.1025641025644</v>
      </c>
      <c r="D11" s="24">
        <f t="shared" si="1"/>
        <v>0.83333333333333337</v>
      </c>
      <c r="E11" s="1">
        <f t="shared" si="2"/>
        <v>4220.0854700854707</v>
      </c>
      <c r="F11" s="3"/>
      <c r="G11" s="3"/>
      <c r="H11" s="1"/>
      <c r="I11" s="1"/>
    </row>
    <row r="12" spans="1:9" x14ac:dyDescent="0.25">
      <c r="A12">
        <v>2020</v>
      </c>
      <c r="B12">
        <v>11</v>
      </c>
      <c r="C12" s="1">
        <f t="shared" si="0"/>
        <v>5064.1025641025644</v>
      </c>
      <c r="D12" s="24">
        <f t="shared" si="1"/>
        <v>0.91666666666666663</v>
      </c>
      <c r="E12" s="1">
        <f t="shared" si="2"/>
        <v>4642.0940170940175</v>
      </c>
      <c r="F12" s="3"/>
      <c r="G12" s="3"/>
    </row>
    <row r="13" spans="1:9" x14ac:dyDescent="0.25">
      <c r="A13">
        <v>2020</v>
      </c>
      <c r="B13">
        <v>12</v>
      </c>
      <c r="C13" s="1">
        <f t="shared" si="0"/>
        <v>5064.1025641025644</v>
      </c>
      <c r="D13" s="24">
        <f t="shared" si="1"/>
        <v>1</v>
      </c>
      <c r="E13" s="1">
        <f t="shared" si="2"/>
        <v>5064.1025641025644</v>
      </c>
      <c r="F13" s="3"/>
      <c r="G13" s="3">
        <f>SUM(C2:C13)</f>
        <v>60769.230769230759</v>
      </c>
      <c r="H13" s="3">
        <f>SUM(D2:D13)</f>
        <v>6.5</v>
      </c>
      <c r="I13" s="3">
        <f>SUM(E2:E13)</f>
        <v>32916.666666666664</v>
      </c>
    </row>
    <row r="14" spans="1:9" ht="14.45" x14ac:dyDescent="0.3">
      <c r="A14">
        <f t="shared" ref="A14:A25" si="3">A2+1</f>
        <v>2021</v>
      </c>
      <c r="B14">
        <f t="shared" ref="B14:B25" si="4">B2</f>
        <v>1</v>
      </c>
      <c r="C14" s="1">
        <f>$H$2/12</f>
        <v>5486.1111111111104</v>
      </c>
      <c r="D14" s="24">
        <v>1</v>
      </c>
      <c r="E14" s="1">
        <f t="shared" si="2"/>
        <v>5486.1111111111104</v>
      </c>
      <c r="F14" s="3"/>
      <c r="G14" s="3"/>
    </row>
    <row r="15" spans="1:9" ht="14.45" x14ac:dyDescent="0.3">
      <c r="A15">
        <f t="shared" si="3"/>
        <v>2021</v>
      </c>
      <c r="B15">
        <f t="shared" si="4"/>
        <v>2</v>
      </c>
      <c r="C15" s="1">
        <f>$H$2/12</f>
        <v>5486.1111111111104</v>
      </c>
      <c r="D15" s="24">
        <v>1</v>
      </c>
      <c r="E15" s="1">
        <f t="shared" si="2"/>
        <v>5486.1111111111104</v>
      </c>
      <c r="F15" s="3"/>
      <c r="G15" s="3"/>
    </row>
    <row r="16" spans="1:9" ht="14.45" x14ac:dyDescent="0.3">
      <c r="A16">
        <f t="shared" si="3"/>
        <v>2021</v>
      </c>
      <c r="B16">
        <f t="shared" si="4"/>
        <v>3</v>
      </c>
      <c r="C16" s="1">
        <f t="shared" ref="C16:C25" si="5">$H$2/12</f>
        <v>5486.1111111111104</v>
      </c>
      <c r="D16" s="24">
        <v>1</v>
      </c>
      <c r="E16" s="1">
        <f t="shared" si="2"/>
        <v>5486.1111111111104</v>
      </c>
      <c r="F16" s="3"/>
      <c r="G16" s="3"/>
    </row>
    <row r="17" spans="1:9" ht="14.45" x14ac:dyDescent="0.3">
      <c r="A17">
        <f t="shared" si="3"/>
        <v>2021</v>
      </c>
      <c r="B17">
        <f t="shared" si="4"/>
        <v>4</v>
      </c>
      <c r="C17" s="1">
        <f t="shared" si="5"/>
        <v>5486.1111111111104</v>
      </c>
      <c r="D17" s="24">
        <v>1</v>
      </c>
      <c r="E17" s="1">
        <f t="shared" si="2"/>
        <v>5486.1111111111104</v>
      </c>
      <c r="F17" s="3"/>
      <c r="G17" s="3"/>
    </row>
    <row r="18" spans="1:9" ht="14.45" x14ac:dyDescent="0.3">
      <c r="A18">
        <f t="shared" si="3"/>
        <v>2021</v>
      </c>
      <c r="B18">
        <f t="shared" si="4"/>
        <v>5</v>
      </c>
      <c r="C18" s="1">
        <f t="shared" si="5"/>
        <v>5486.1111111111104</v>
      </c>
      <c r="D18" s="24">
        <v>1</v>
      </c>
      <c r="E18" s="1">
        <f t="shared" si="2"/>
        <v>5486.1111111111104</v>
      </c>
      <c r="F18" s="3"/>
      <c r="G18" s="3"/>
    </row>
    <row r="19" spans="1:9" x14ac:dyDescent="0.25">
      <c r="A19">
        <f t="shared" si="3"/>
        <v>2021</v>
      </c>
      <c r="B19">
        <f t="shared" si="4"/>
        <v>6</v>
      </c>
      <c r="C19" s="1">
        <f t="shared" si="5"/>
        <v>5486.1111111111104</v>
      </c>
      <c r="D19" s="24">
        <v>1</v>
      </c>
      <c r="E19" s="1">
        <f t="shared" si="2"/>
        <v>5486.1111111111104</v>
      </c>
      <c r="F19" s="3"/>
      <c r="G19" s="3"/>
    </row>
    <row r="20" spans="1:9" x14ac:dyDescent="0.25">
      <c r="A20">
        <f t="shared" si="3"/>
        <v>2021</v>
      </c>
      <c r="B20">
        <f t="shared" si="4"/>
        <v>7</v>
      </c>
      <c r="C20" s="1">
        <f t="shared" si="5"/>
        <v>5486.1111111111104</v>
      </c>
      <c r="D20" s="24">
        <v>1</v>
      </c>
      <c r="E20" s="1">
        <f t="shared" si="2"/>
        <v>5486.1111111111104</v>
      </c>
      <c r="F20" s="3"/>
      <c r="G20" s="3"/>
    </row>
    <row r="21" spans="1:9" x14ac:dyDescent="0.25">
      <c r="A21">
        <f t="shared" si="3"/>
        <v>2021</v>
      </c>
      <c r="B21">
        <f t="shared" si="4"/>
        <v>8</v>
      </c>
      <c r="C21" s="1">
        <f t="shared" si="5"/>
        <v>5486.1111111111104</v>
      </c>
      <c r="D21" s="24">
        <v>1</v>
      </c>
      <c r="E21" s="1">
        <f t="shared" si="2"/>
        <v>5486.1111111111104</v>
      </c>
      <c r="F21" s="3"/>
      <c r="G21" s="3"/>
    </row>
    <row r="22" spans="1:9" x14ac:dyDescent="0.25">
      <c r="A22">
        <f t="shared" si="3"/>
        <v>2021</v>
      </c>
      <c r="B22">
        <f t="shared" si="4"/>
        <v>9</v>
      </c>
      <c r="C22" s="1">
        <f t="shared" si="5"/>
        <v>5486.1111111111104</v>
      </c>
      <c r="D22" s="24">
        <v>1</v>
      </c>
      <c r="E22" s="1">
        <f t="shared" si="2"/>
        <v>5486.1111111111104</v>
      </c>
      <c r="F22" s="3"/>
      <c r="G22" s="3"/>
    </row>
    <row r="23" spans="1:9" x14ac:dyDescent="0.25">
      <c r="A23">
        <f t="shared" si="3"/>
        <v>2021</v>
      </c>
      <c r="B23">
        <f t="shared" si="4"/>
        <v>10</v>
      </c>
      <c r="C23" s="1">
        <f t="shared" si="5"/>
        <v>5486.1111111111104</v>
      </c>
      <c r="D23" s="24">
        <v>1</v>
      </c>
      <c r="E23" s="1">
        <f t="shared" si="2"/>
        <v>5486.1111111111104</v>
      </c>
      <c r="F23" s="3"/>
      <c r="G23" s="3"/>
    </row>
    <row r="24" spans="1:9" x14ac:dyDescent="0.25">
      <c r="A24">
        <f t="shared" si="3"/>
        <v>2021</v>
      </c>
      <c r="B24">
        <f t="shared" si="4"/>
        <v>11</v>
      </c>
      <c r="C24" s="1">
        <f t="shared" si="5"/>
        <v>5486.1111111111104</v>
      </c>
      <c r="D24" s="24">
        <v>1</v>
      </c>
      <c r="E24" s="1">
        <f t="shared" si="2"/>
        <v>5486.1111111111104</v>
      </c>
      <c r="F24" s="3"/>
      <c r="G24" s="3"/>
    </row>
    <row r="25" spans="1:9" x14ac:dyDescent="0.25">
      <c r="A25">
        <f t="shared" si="3"/>
        <v>2021</v>
      </c>
      <c r="B25">
        <f t="shared" si="4"/>
        <v>12</v>
      </c>
      <c r="C25" s="1">
        <f t="shared" si="5"/>
        <v>5486.1111111111104</v>
      </c>
      <c r="D25" s="24">
        <v>1</v>
      </c>
      <c r="E25" s="1">
        <f t="shared" si="2"/>
        <v>5486.1111111111104</v>
      </c>
      <c r="F25" s="3"/>
      <c r="G25" s="3">
        <f>SUM(C14:C25)</f>
        <v>65833.333333333328</v>
      </c>
      <c r="H25" s="3">
        <f>SUM(D14:D25)</f>
        <v>12</v>
      </c>
      <c r="I25" s="3">
        <f>SUM(E14:E25)</f>
        <v>65833.333333333328</v>
      </c>
    </row>
    <row r="26" spans="1:9" x14ac:dyDescent="0.25">
      <c r="C26" s="1"/>
    </row>
    <row r="27" spans="1:9" x14ac:dyDescent="0.25">
      <c r="C27" s="1"/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"/>
  <sheetViews>
    <sheetView zoomScaleNormal="100" workbookViewId="0">
      <pane xSplit="2" ySplit="1" topLeftCell="P101" activePane="bottomRight" state="frozen"/>
      <selection pane="topRight" activeCell="C1" sqref="C1"/>
      <selection pane="bottomLeft" activeCell="A2" sqref="A2"/>
      <selection pane="bottomRight" activeCell="C65" sqref="C65"/>
    </sheetView>
  </sheetViews>
  <sheetFormatPr defaultRowHeight="15" x14ac:dyDescent="0.25"/>
  <cols>
    <col min="1" max="2" width="10.42578125" style="34" customWidth="1"/>
    <col min="3" max="3" width="15.42578125" style="35" customWidth="1"/>
    <col min="4" max="5" width="10.42578125" customWidth="1"/>
    <col min="6" max="6" width="11.42578125" customWidth="1"/>
    <col min="7" max="7" width="11" customWidth="1"/>
    <col min="8" max="8" width="11.42578125" customWidth="1"/>
    <col min="9" max="9" width="11.5703125" bestFit="1" customWidth="1"/>
    <col min="10" max="10" width="10.42578125" customWidth="1"/>
    <col min="11" max="11" width="13" customWidth="1"/>
    <col min="12" max="15" width="12.7109375" customWidth="1"/>
    <col min="16" max="16" width="13.85546875" bestFit="1" customWidth="1"/>
    <col min="17" max="17" width="13.28515625" bestFit="1" customWidth="1"/>
    <col min="19" max="19" width="13.28515625" bestFit="1" customWidth="1"/>
    <col min="20" max="20" width="11.7109375" bestFit="1" customWidth="1"/>
    <col min="21" max="21" width="13.28515625" bestFit="1" customWidth="1"/>
    <col min="22" max="22" width="12.7109375" bestFit="1" customWidth="1"/>
    <col min="23" max="23" width="17.28515625" bestFit="1" customWidth="1"/>
    <col min="24" max="24" width="15.7109375" bestFit="1" customWidth="1"/>
    <col min="25" max="25" width="14.7109375" customWidth="1"/>
    <col min="26" max="26" width="13.28515625" customWidth="1"/>
  </cols>
  <sheetData>
    <row r="1" spans="1:25" s="7" customFormat="1" ht="14.45" x14ac:dyDescent="0.25">
      <c r="A1" s="54" t="s">
        <v>27</v>
      </c>
      <c r="B1" s="54" t="s">
        <v>28</v>
      </c>
      <c r="C1" s="27" t="s">
        <v>31</v>
      </c>
      <c r="D1" s="54" t="s">
        <v>32</v>
      </c>
      <c r="E1" s="54" t="s">
        <v>47</v>
      </c>
      <c r="F1" s="54" t="s">
        <v>46</v>
      </c>
      <c r="G1" s="54" t="s">
        <v>49</v>
      </c>
      <c r="H1" s="54" t="s">
        <v>48</v>
      </c>
      <c r="I1" s="54" t="s">
        <v>50</v>
      </c>
      <c r="K1" s="7" t="s">
        <v>111</v>
      </c>
      <c r="L1" s="56" t="s">
        <v>112</v>
      </c>
      <c r="M1" s="56" t="s">
        <v>113</v>
      </c>
      <c r="N1" s="56" t="s">
        <v>114</v>
      </c>
      <c r="O1" s="56" t="s">
        <v>115</v>
      </c>
      <c r="P1" s="56" t="s">
        <v>117</v>
      </c>
      <c r="Q1" s="56" t="s">
        <v>116</v>
      </c>
      <c r="S1" s="7" t="s">
        <v>118</v>
      </c>
      <c r="T1" s="115" t="s">
        <v>119</v>
      </c>
      <c r="U1" s="115" t="s">
        <v>120</v>
      </c>
      <c r="V1" s="115" t="s">
        <v>121</v>
      </c>
      <c r="W1" s="115" t="s">
        <v>122</v>
      </c>
      <c r="X1" s="115" t="s">
        <v>123</v>
      </c>
      <c r="Y1" s="115" t="s">
        <v>124</v>
      </c>
    </row>
    <row r="2" spans="1:25" s="34" customFormat="1" ht="14.45" x14ac:dyDescent="0.25">
      <c r="A2" s="32">
        <v>2011</v>
      </c>
      <c r="B2" s="32">
        <v>1</v>
      </c>
      <c r="C2" s="33">
        <f>'2011'!E2</f>
        <v>0</v>
      </c>
      <c r="D2" s="38">
        <f>C2*'Forecasted Targets'!$F$55</f>
        <v>0</v>
      </c>
      <c r="E2" s="38">
        <f>$C2*'Forecasted Targets'!G$55</f>
        <v>0</v>
      </c>
      <c r="F2" s="38">
        <f>$C2*'Forecasted Targets'!H$55</f>
        <v>0</v>
      </c>
      <c r="G2" s="38">
        <f>$F2*'Comm Breakdown'!D$15</f>
        <v>0</v>
      </c>
      <c r="H2" s="38">
        <f>$F2*'Comm Breakdown'!E$15</f>
        <v>0</v>
      </c>
      <c r="I2" s="38">
        <f>$F2*'Comm Breakdown'!F$15</f>
        <v>0</v>
      </c>
    </row>
    <row r="3" spans="1:25" ht="14.45" x14ac:dyDescent="0.25">
      <c r="A3" s="32">
        <v>2011</v>
      </c>
      <c r="B3" s="32">
        <f>B2+1</f>
        <v>2</v>
      </c>
      <c r="C3" s="33">
        <f>'2011'!E3</f>
        <v>0</v>
      </c>
      <c r="D3" s="38">
        <f>C3*'Forecasted Targets'!$F$55</f>
        <v>0</v>
      </c>
      <c r="E3" s="38">
        <f>$C3*'Forecasted Targets'!G$55</f>
        <v>0</v>
      </c>
      <c r="F3" s="38">
        <f>$C3*'Forecasted Targets'!H$55</f>
        <v>0</v>
      </c>
      <c r="G3" s="38">
        <f>$F3*'Comm Breakdown'!D$15</f>
        <v>0</v>
      </c>
      <c r="H3" s="38">
        <f>$F3*'Comm Breakdown'!E$15</f>
        <v>0</v>
      </c>
      <c r="I3" s="38">
        <f>$F3*'Comm Breakdown'!F$15</f>
        <v>0</v>
      </c>
      <c r="L3" s="34"/>
      <c r="M3" s="34"/>
      <c r="N3" s="34"/>
      <c r="O3" s="34"/>
      <c r="P3" s="34"/>
    </row>
    <row r="4" spans="1:25" ht="14.45" x14ac:dyDescent="0.25">
      <c r="A4" s="32">
        <v>2011</v>
      </c>
      <c r="B4" s="32">
        <f t="shared" ref="B4:B13" si="0">B3+1</f>
        <v>3</v>
      </c>
      <c r="C4" s="33">
        <f>'2011'!E4</f>
        <v>0</v>
      </c>
      <c r="D4" s="38">
        <f>C4*'Forecasted Targets'!$F$55</f>
        <v>0</v>
      </c>
      <c r="E4" s="38">
        <f>$C4*'Forecasted Targets'!G$55</f>
        <v>0</v>
      </c>
      <c r="F4" s="38">
        <f>$C4*'Forecasted Targets'!H$55</f>
        <v>0</v>
      </c>
      <c r="G4" s="38">
        <f>$F4*'Comm Breakdown'!D$15</f>
        <v>0</v>
      </c>
      <c r="H4" s="38">
        <f>$F4*'Comm Breakdown'!E$15</f>
        <v>0</v>
      </c>
      <c r="I4" s="38">
        <f>$F4*'Comm Breakdown'!F$15</f>
        <v>0</v>
      </c>
      <c r="L4" s="34"/>
      <c r="M4" s="34"/>
      <c r="N4" s="34"/>
      <c r="O4" s="34"/>
      <c r="P4" s="34"/>
    </row>
    <row r="5" spans="1:25" ht="14.45" x14ac:dyDescent="0.25">
      <c r="A5" s="32">
        <v>2011</v>
      </c>
      <c r="B5" s="32">
        <f t="shared" si="0"/>
        <v>4</v>
      </c>
      <c r="C5" s="33">
        <f>'2011'!E5</f>
        <v>0</v>
      </c>
      <c r="D5" s="38">
        <f>C5*'Forecasted Targets'!$F$55</f>
        <v>0</v>
      </c>
      <c r="E5" s="38">
        <f>$C5*'Forecasted Targets'!G$55</f>
        <v>0</v>
      </c>
      <c r="F5" s="38">
        <f>$C5*'Forecasted Targets'!H$55</f>
        <v>0</v>
      </c>
      <c r="G5" s="38">
        <f>$F5*'Comm Breakdown'!D$15</f>
        <v>0</v>
      </c>
      <c r="H5" s="38">
        <f>$F5*'Comm Breakdown'!E$15</f>
        <v>0</v>
      </c>
      <c r="I5" s="38">
        <f>$F5*'Comm Breakdown'!F$15</f>
        <v>0</v>
      </c>
      <c r="L5" s="34"/>
      <c r="M5" s="34"/>
      <c r="N5" s="34"/>
      <c r="O5" s="34"/>
      <c r="P5" s="34"/>
    </row>
    <row r="6" spans="1:25" ht="14.45" x14ac:dyDescent="0.25">
      <c r="A6" s="32">
        <v>2011</v>
      </c>
      <c r="B6" s="32">
        <f t="shared" si="0"/>
        <v>5</v>
      </c>
      <c r="C6" s="33">
        <f>'2011'!E6</f>
        <v>0</v>
      </c>
      <c r="D6" s="38">
        <f>C6*'Forecasted Targets'!$F$55</f>
        <v>0</v>
      </c>
      <c r="E6" s="38">
        <f>$C6*'Forecasted Targets'!G$55</f>
        <v>0</v>
      </c>
      <c r="F6" s="38">
        <f>$C6*'Forecasted Targets'!H$55</f>
        <v>0</v>
      </c>
      <c r="G6" s="38">
        <f>$F6*'Comm Breakdown'!D$15</f>
        <v>0</v>
      </c>
      <c r="H6" s="38">
        <f>$F6*'Comm Breakdown'!E$15</f>
        <v>0</v>
      </c>
      <c r="I6" s="38">
        <f>$F6*'Comm Breakdown'!F$15</f>
        <v>0</v>
      </c>
      <c r="L6" s="34"/>
      <c r="M6" s="34"/>
      <c r="N6" s="34"/>
      <c r="O6" s="34"/>
      <c r="P6" s="34"/>
    </row>
    <row r="7" spans="1:25" ht="14.45" x14ac:dyDescent="0.25">
      <c r="A7" s="32">
        <v>2011</v>
      </c>
      <c r="B7" s="32">
        <f t="shared" si="0"/>
        <v>6</v>
      </c>
      <c r="C7" s="33">
        <f>'2011'!E7</f>
        <v>0</v>
      </c>
      <c r="D7" s="38">
        <f>C7*'Forecasted Targets'!$F$55</f>
        <v>0</v>
      </c>
      <c r="E7" s="38">
        <f>$C7*'Forecasted Targets'!G$55</f>
        <v>0</v>
      </c>
      <c r="F7" s="38">
        <f>$C7*'Forecasted Targets'!H$55</f>
        <v>0</v>
      </c>
      <c r="G7" s="38">
        <f>$F7*'Comm Breakdown'!D$15</f>
        <v>0</v>
      </c>
      <c r="H7" s="38">
        <f>$F7*'Comm Breakdown'!E$15</f>
        <v>0</v>
      </c>
      <c r="I7" s="38">
        <f>$F7*'Comm Breakdown'!F$15</f>
        <v>0</v>
      </c>
      <c r="L7" s="34"/>
      <c r="N7" s="34"/>
      <c r="O7" s="34"/>
      <c r="P7" s="34"/>
    </row>
    <row r="8" spans="1:25" ht="14.45" x14ac:dyDescent="0.25">
      <c r="A8" s="32">
        <v>2011</v>
      </c>
      <c r="B8" s="32">
        <f t="shared" si="0"/>
        <v>7</v>
      </c>
      <c r="C8" s="33">
        <f>'2011'!E8</f>
        <v>0</v>
      </c>
      <c r="D8" s="38">
        <f>C8*'Forecasted Targets'!$F$55</f>
        <v>0</v>
      </c>
      <c r="E8" s="38">
        <f>$C8*'Forecasted Targets'!G$55</f>
        <v>0</v>
      </c>
      <c r="F8" s="38">
        <f>$C8*'Forecasted Targets'!H$55</f>
        <v>0</v>
      </c>
      <c r="G8" s="38">
        <f>$F8*'Comm Breakdown'!D$15</f>
        <v>0</v>
      </c>
      <c r="H8" s="38">
        <f>$F8*'Comm Breakdown'!E$15</f>
        <v>0</v>
      </c>
      <c r="I8" s="38">
        <f>$F8*'Comm Breakdown'!F$15</f>
        <v>0</v>
      </c>
      <c r="L8" s="34"/>
      <c r="M8" s="34"/>
      <c r="N8" s="34"/>
      <c r="O8" s="34"/>
      <c r="P8" s="34"/>
    </row>
    <row r="9" spans="1:25" ht="14.45" x14ac:dyDescent="0.25">
      <c r="A9" s="32">
        <v>2011</v>
      </c>
      <c r="B9" s="32">
        <f t="shared" si="0"/>
        <v>8</v>
      </c>
      <c r="C9" s="33">
        <f>'2011'!E9</f>
        <v>0</v>
      </c>
      <c r="D9" s="38">
        <f>C9*'Forecasted Targets'!$F$55</f>
        <v>0</v>
      </c>
      <c r="E9" s="38">
        <f>$C9*'Forecasted Targets'!G$55</f>
        <v>0</v>
      </c>
      <c r="F9" s="38">
        <f>$C9*'Forecasted Targets'!H$55</f>
        <v>0</v>
      </c>
      <c r="G9" s="38">
        <f>$F9*'Comm Breakdown'!D$15</f>
        <v>0</v>
      </c>
      <c r="H9" s="38">
        <f>$F9*'Comm Breakdown'!E$15</f>
        <v>0</v>
      </c>
      <c r="I9" s="38">
        <f>$F9*'Comm Breakdown'!F$15</f>
        <v>0</v>
      </c>
      <c r="L9" s="34"/>
      <c r="M9" s="34"/>
      <c r="N9" s="34"/>
      <c r="O9" s="34"/>
      <c r="P9" s="34"/>
    </row>
    <row r="10" spans="1:25" ht="14.45" x14ac:dyDescent="0.25">
      <c r="A10" s="32">
        <v>2011</v>
      </c>
      <c r="B10" s="32">
        <f t="shared" si="0"/>
        <v>9</v>
      </c>
      <c r="C10" s="33">
        <f>'2011'!E10</f>
        <v>0</v>
      </c>
      <c r="D10" s="38">
        <f>C10*'Forecasted Targets'!$F$55</f>
        <v>0</v>
      </c>
      <c r="E10" s="38">
        <f>$C10*'Forecasted Targets'!G$55</f>
        <v>0</v>
      </c>
      <c r="F10" s="38">
        <f>$C10*'Forecasted Targets'!H$55</f>
        <v>0</v>
      </c>
      <c r="G10" s="38">
        <f>$F10*'Comm Breakdown'!D$15</f>
        <v>0</v>
      </c>
      <c r="H10" s="38">
        <f>$F10*'Comm Breakdown'!E$15</f>
        <v>0</v>
      </c>
      <c r="I10" s="38">
        <f>$F10*'Comm Breakdown'!F$15</f>
        <v>0</v>
      </c>
      <c r="L10" s="34"/>
      <c r="M10" s="34"/>
      <c r="N10" s="34"/>
      <c r="O10" s="34"/>
      <c r="P10" s="34"/>
    </row>
    <row r="11" spans="1:25" ht="14.45" x14ac:dyDescent="0.25">
      <c r="A11" s="32">
        <v>2011</v>
      </c>
      <c r="B11" s="32">
        <f t="shared" si="0"/>
        <v>10</v>
      </c>
      <c r="C11" s="33">
        <f>'2011'!E11</f>
        <v>0</v>
      </c>
      <c r="D11" s="38">
        <f>C11*'Forecasted Targets'!$F$55</f>
        <v>0</v>
      </c>
      <c r="E11" s="38">
        <f>$C11*'Forecasted Targets'!G$55</f>
        <v>0</v>
      </c>
      <c r="F11" s="38">
        <f>$C11*'Forecasted Targets'!H$55</f>
        <v>0</v>
      </c>
      <c r="G11" s="38">
        <f>$F11*'Comm Breakdown'!D$15</f>
        <v>0</v>
      </c>
      <c r="H11" s="38">
        <f>$F11*'Comm Breakdown'!E$15</f>
        <v>0</v>
      </c>
      <c r="I11" s="38">
        <f>$F11*'Comm Breakdown'!F$15</f>
        <v>0</v>
      </c>
      <c r="L11" s="34"/>
      <c r="M11" s="34"/>
      <c r="N11" s="34"/>
      <c r="O11" s="34"/>
      <c r="P11" s="34"/>
    </row>
    <row r="12" spans="1:25" ht="14.45" x14ac:dyDescent="0.25">
      <c r="A12" s="32">
        <v>2011</v>
      </c>
      <c r="B12" s="32">
        <f t="shared" si="0"/>
        <v>11</v>
      </c>
      <c r="C12" s="33">
        <f>'2011'!E12</f>
        <v>0</v>
      </c>
      <c r="D12" s="38">
        <f>C12*'Forecasted Targets'!$F$55</f>
        <v>0</v>
      </c>
      <c r="E12" s="38">
        <f>$C12*'Forecasted Targets'!G$55</f>
        <v>0</v>
      </c>
      <c r="F12" s="38">
        <f>$C12*'Forecasted Targets'!H$55</f>
        <v>0</v>
      </c>
      <c r="G12" s="38">
        <f>$F12*'Comm Breakdown'!D$15</f>
        <v>0</v>
      </c>
      <c r="H12" s="38">
        <f>$F12*'Comm Breakdown'!E$15</f>
        <v>0</v>
      </c>
      <c r="I12" s="38">
        <f>$F12*'Comm Breakdown'!F$15</f>
        <v>0</v>
      </c>
      <c r="L12" s="34"/>
      <c r="M12" s="34"/>
      <c r="N12" s="34"/>
      <c r="O12" s="34"/>
      <c r="P12" s="34"/>
    </row>
    <row r="13" spans="1:25" ht="14.45" x14ac:dyDescent="0.25">
      <c r="A13" s="32">
        <v>2011</v>
      </c>
      <c r="B13" s="32">
        <f t="shared" si="0"/>
        <v>12</v>
      </c>
      <c r="C13" s="33">
        <f>'2011'!E13</f>
        <v>0</v>
      </c>
      <c r="D13" s="38">
        <f>C13*'Forecasted Targets'!$F$55</f>
        <v>0</v>
      </c>
      <c r="E13" s="38">
        <f>$C13*'Forecasted Targets'!G$55</f>
        <v>0</v>
      </c>
      <c r="F13" s="38">
        <f>$C13*'Forecasted Targets'!H$55</f>
        <v>0</v>
      </c>
      <c r="G13" s="38">
        <f>$F13*'Comm Breakdown'!D$15</f>
        <v>0</v>
      </c>
      <c r="H13" s="38">
        <f>$F13*'Comm Breakdown'!E$15</f>
        <v>0</v>
      </c>
      <c r="I13" s="38">
        <f>$F13*'Comm Breakdown'!F$15</f>
        <v>0</v>
      </c>
      <c r="L13" s="34"/>
      <c r="M13" s="34"/>
      <c r="N13" s="34"/>
      <c r="O13" s="34"/>
      <c r="P13" s="34"/>
    </row>
    <row r="14" spans="1:25" ht="14.45" x14ac:dyDescent="0.25">
      <c r="A14" s="32">
        <f>A2+1</f>
        <v>2012</v>
      </c>
      <c r="B14" s="32">
        <f>B2</f>
        <v>1</v>
      </c>
      <c r="C14" s="33">
        <f>'2011'!E14+'2012'!E2</f>
        <v>0</v>
      </c>
      <c r="D14" s="38">
        <f>C14*'Forecasted Targets'!$F$55</f>
        <v>0</v>
      </c>
      <c r="E14" s="38">
        <f>$C14*'Forecasted Targets'!G$56</f>
        <v>0</v>
      </c>
      <c r="F14" s="38">
        <f>$C14*'Forecasted Targets'!H$56</f>
        <v>0</v>
      </c>
      <c r="G14" s="38">
        <f>$F14*'Comm Breakdown'!D$16</f>
        <v>0</v>
      </c>
      <c r="H14" s="38">
        <f>$F14*'Comm Breakdown'!E$16</f>
        <v>0</v>
      </c>
      <c r="I14" s="38">
        <f>$F14*'Comm Breakdown'!F$16</f>
        <v>0</v>
      </c>
      <c r="L14" s="34"/>
      <c r="M14" s="34"/>
      <c r="N14" s="34"/>
      <c r="O14" s="34"/>
      <c r="P14" s="34"/>
    </row>
    <row r="15" spans="1:25" ht="14.45" x14ac:dyDescent="0.25">
      <c r="A15" s="32">
        <f t="shared" ref="A15:A78" si="1">A3+1</f>
        <v>2012</v>
      </c>
      <c r="B15" s="32">
        <f t="shared" ref="B15:B78" si="2">B3</f>
        <v>2</v>
      </c>
      <c r="C15" s="33">
        <f>'2011'!E15+'2012'!E3</f>
        <v>0</v>
      </c>
      <c r="D15" s="38">
        <f>C15*'Forecasted Targets'!$F$56</f>
        <v>0</v>
      </c>
      <c r="E15" s="38">
        <f>$C15*'Forecasted Targets'!G$56</f>
        <v>0</v>
      </c>
      <c r="F15" s="38">
        <f>$C15*'Forecasted Targets'!H$56</f>
        <v>0</v>
      </c>
      <c r="G15" s="38">
        <f>$F15*'Comm Breakdown'!D$16</f>
        <v>0</v>
      </c>
      <c r="H15" s="38">
        <f>$F15*'Comm Breakdown'!E$16</f>
        <v>0</v>
      </c>
      <c r="I15" s="38">
        <f>$F15*'Comm Breakdown'!F$16</f>
        <v>0</v>
      </c>
      <c r="L15" s="34"/>
      <c r="M15" s="34"/>
      <c r="N15" s="34"/>
      <c r="O15" s="34"/>
      <c r="P15" s="34"/>
    </row>
    <row r="16" spans="1:25" ht="14.45" x14ac:dyDescent="0.25">
      <c r="A16" s="32">
        <f t="shared" si="1"/>
        <v>2012</v>
      </c>
      <c r="B16" s="32">
        <f t="shared" si="2"/>
        <v>3</v>
      </c>
      <c r="C16" s="33">
        <f>'2011'!E16+'2012'!E4</f>
        <v>0</v>
      </c>
      <c r="D16" s="38">
        <f>C16*'Forecasted Targets'!$F$56</f>
        <v>0</v>
      </c>
      <c r="E16" s="38">
        <f>$C16*'Forecasted Targets'!G$56</f>
        <v>0</v>
      </c>
      <c r="F16" s="38">
        <f>$C16*'Forecasted Targets'!H$56</f>
        <v>0</v>
      </c>
      <c r="G16" s="38">
        <f>$F16*'Comm Breakdown'!D$16</f>
        <v>0</v>
      </c>
      <c r="H16" s="38">
        <f>$F16*'Comm Breakdown'!E$16</f>
        <v>0</v>
      </c>
      <c r="I16" s="38">
        <f>$F16*'Comm Breakdown'!F$16</f>
        <v>0</v>
      </c>
      <c r="L16" s="34"/>
      <c r="M16" s="34"/>
      <c r="N16" s="34"/>
      <c r="O16" s="34"/>
      <c r="P16" s="34"/>
    </row>
    <row r="17" spans="1:19" ht="14.45" x14ac:dyDescent="0.25">
      <c r="A17" s="32">
        <f t="shared" si="1"/>
        <v>2012</v>
      </c>
      <c r="B17" s="32">
        <f t="shared" si="2"/>
        <v>4</v>
      </c>
      <c r="C17" s="33">
        <f>'2011'!E17+'2012'!E5</f>
        <v>0</v>
      </c>
      <c r="D17" s="38">
        <f>C17*'Forecasted Targets'!$F$56</f>
        <v>0</v>
      </c>
      <c r="E17" s="38">
        <f>$C17*'Forecasted Targets'!G$56</f>
        <v>0</v>
      </c>
      <c r="F17" s="38">
        <f>$C17*'Forecasted Targets'!H$56</f>
        <v>0</v>
      </c>
      <c r="G17" s="38">
        <f>$F17*'Comm Breakdown'!D$16</f>
        <v>0</v>
      </c>
      <c r="H17" s="38">
        <f>$F17*'Comm Breakdown'!E$16</f>
        <v>0</v>
      </c>
      <c r="I17" s="38">
        <f>$F17*'Comm Breakdown'!F$16</f>
        <v>0</v>
      </c>
      <c r="L17" s="34"/>
      <c r="M17" s="34"/>
      <c r="N17" s="34"/>
      <c r="O17" s="34"/>
      <c r="P17" s="34"/>
    </row>
    <row r="18" spans="1:19" ht="14.45" x14ac:dyDescent="0.25">
      <c r="A18" s="32">
        <f t="shared" si="1"/>
        <v>2012</v>
      </c>
      <c r="B18" s="32">
        <f t="shared" si="2"/>
        <v>5</v>
      </c>
      <c r="C18" s="33">
        <f>'2011'!E18+'2012'!E6</f>
        <v>0</v>
      </c>
      <c r="D18" s="38">
        <f>C18*'Forecasted Targets'!$F$56</f>
        <v>0</v>
      </c>
      <c r="E18" s="38">
        <f>$C18*'Forecasted Targets'!G$56</f>
        <v>0</v>
      </c>
      <c r="F18" s="38">
        <f>$C18*'Forecasted Targets'!H$56</f>
        <v>0</v>
      </c>
      <c r="G18" s="38">
        <f>$F18*'Comm Breakdown'!D$16</f>
        <v>0</v>
      </c>
      <c r="H18" s="38">
        <f>$F18*'Comm Breakdown'!E$16</f>
        <v>0</v>
      </c>
      <c r="I18" s="38">
        <f>$F18*'Comm Breakdown'!F$16</f>
        <v>0</v>
      </c>
      <c r="L18" s="34"/>
      <c r="M18" s="34"/>
      <c r="N18" s="34"/>
      <c r="O18" s="34"/>
      <c r="P18" s="34"/>
    </row>
    <row r="19" spans="1:19" ht="14.45" x14ac:dyDescent="0.25">
      <c r="A19" s="32">
        <f t="shared" si="1"/>
        <v>2012</v>
      </c>
      <c r="B19" s="32">
        <f t="shared" si="2"/>
        <v>6</v>
      </c>
      <c r="C19" s="33">
        <f>'2011'!E19+'2012'!E7</f>
        <v>0</v>
      </c>
      <c r="D19" s="38">
        <f>C19*'Forecasted Targets'!$F$56</f>
        <v>0</v>
      </c>
      <c r="E19" s="38">
        <f>$C19*'Forecasted Targets'!G$56</f>
        <v>0</v>
      </c>
      <c r="F19" s="38">
        <f>$C19*'Forecasted Targets'!H$56</f>
        <v>0</v>
      </c>
      <c r="G19" s="38">
        <f>$F19*'Comm Breakdown'!D$16</f>
        <v>0</v>
      </c>
      <c r="H19" s="38">
        <f>$F19*'Comm Breakdown'!E$16</f>
        <v>0</v>
      </c>
      <c r="I19" s="38">
        <f>$F19*'Comm Breakdown'!F$16</f>
        <v>0</v>
      </c>
      <c r="L19" s="34"/>
      <c r="M19" s="34"/>
      <c r="N19" s="34"/>
      <c r="O19" s="34"/>
      <c r="P19" s="34"/>
    </row>
    <row r="20" spans="1:19" ht="14.45" x14ac:dyDescent="0.25">
      <c r="A20" s="32">
        <f t="shared" si="1"/>
        <v>2012</v>
      </c>
      <c r="B20" s="32">
        <f t="shared" si="2"/>
        <v>7</v>
      </c>
      <c r="C20" s="33">
        <f>'2011'!E20+'2012'!E8</f>
        <v>0</v>
      </c>
      <c r="D20" s="38">
        <f>C20*'Forecasted Targets'!$F$56</f>
        <v>0</v>
      </c>
      <c r="E20" s="38">
        <f>$C20*'Forecasted Targets'!G$56</f>
        <v>0</v>
      </c>
      <c r="F20" s="38">
        <f>$C20*'Forecasted Targets'!H$56</f>
        <v>0</v>
      </c>
      <c r="G20" s="38">
        <f>$F20*'Comm Breakdown'!D$16</f>
        <v>0</v>
      </c>
      <c r="H20" s="38">
        <f>$F20*'Comm Breakdown'!E$16</f>
        <v>0</v>
      </c>
      <c r="I20" s="38">
        <f>$F20*'Comm Breakdown'!F$16</f>
        <v>0</v>
      </c>
      <c r="L20" s="34"/>
      <c r="M20" s="34"/>
      <c r="N20" s="34"/>
      <c r="O20" s="34"/>
      <c r="P20" s="34"/>
    </row>
    <row r="21" spans="1:19" ht="14.45" x14ac:dyDescent="0.25">
      <c r="A21" s="32">
        <f t="shared" si="1"/>
        <v>2012</v>
      </c>
      <c r="B21" s="32">
        <f t="shared" si="2"/>
        <v>8</v>
      </c>
      <c r="C21" s="33">
        <f>'2011'!E21+'2012'!E9</f>
        <v>0</v>
      </c>
      <c r="D21" s="38">
        <f>C21*'Forecasted Targets'!$F$56</f>
        <v>0</v>
      </c>
      <c r="E21" s="38">
        <f>$C21*'Forecasted Targets'!G$56</f>
        <v>0</v>
      </c>
      <c r="F21" s="38">
        <f>$C21*'Forecasted Targets'!H$56</f>
        <v>0</v>
      </c>
      <c r="G21" s="38">
        <f>$F21*'Comm Breakdown'!D$16</f>
        <v>0</v>
      </c>
      <c r="H21" s="38">
        <f>$F21*'Comm Breakdown'!E$16</f>
        <v>0</v>
      </c>
      <c r="I21" s="38">
        <f>$F21*'Comm Breakdown'!F$16</f>
        <v>0</v>
      </c>
      <c r="L21" s="34"/>
      <c r="M21" s="34"/>
      <c r="N21" s="34"/>
      <c r="O21" s="34"/>
      <c r="P21" s="34"/>
    </row>
    <row r="22" spans="1:19" ht="14.45" x14ac:dyDescent="0.25">
      <c r="A22" s="32">
        <f t="shared" si="1"/>
        <v>2012</v>
      </c>
      <c r="B22" s="32">
        <f t="shared" si="2"/>
        <v>9</v>
      </c>
      <c r="C22" s="33">
        <f>'2011'!E22+'2012'!E10</f>
        <v>0</v>
      </c>
      <c r="D22" s="38">
        <f>C22*'Forecasted Targets'!$F$56</f>
        <v>0</v>
      </c>
      <c r="E22" s="38">
        <f>$C22*'Forecasted Targets'!G$56</f>
        <v>0</v>
      </c>
      <c r="F22" s="38">
        <f>$C22*'Forecasted Targets'!H$56</f>
        <v>0</v>
      </c>
      <c r="G22" s="38">
        <f>$F22*'Comm Breakdown'!D$16</f>
        <v>0</v>
      </c>
      <c r="H22" s="38">
        <f>$F22*'Comm Breakdown'!E$16</f>
        <v>0</v>
      </c>
      <c r="I22" s="38">
        <f>$F22*'Comm Breakdown'!F$16</f>
        <v>0</v>
      </c>
      <c r="L22" s="34"/>
      <c r="M22" s="34"/>
      <c r="N22" s="34"/>
      <c r="O22" s="34"/>
      <c r="P22" s="34"/>
    </row>
    <row r="23" spans="1:19" ht="14.45" x14ac:dyDescent="0.25">
      <c r="A23" s="32">
        <f t="shared" si="1"/>
        <v>2012</v>
      </c>
      <c r="B23" s="32">
        <f t="shared" si="2"/>
        <v>10</v>
      </c>
      <c r="C23" s="33">
        <f>'2011'!E23+'2012'!E11</f>
        <v>0</v>
      </c>
      <c r="D23" s="38">
        <f>C23*'Forecasted Targets'!$F$56</f>
        <v>0</v>
      </c>
      <c r="E23" s="38">
        <f>$C23*'Forecasted Targets'!G$56</f>
        <v>0</v>
      </c>
      <c r="F23" s="38">
        <f>$C23*'Forecasted Targets'!H$56</f>
        <v>0</v>
      </c>
      <c r="G23" s="38">
        <f>$F23*'Comm Breakdown'!D$16</f>
        <v>0</v>
      </c>
      <c r="H23" s="38">
        <f>$F23*'Comm Breakdown'!E$16</f>
        <v>0</v>
      </c>
      <c r="I23" s="38">
        <f>$F23*'Comm Breakdown'!F$16</f>
        <v>0</v>
      </c>
      <c r="L23" s="34"/>
      <c r="M23" s="34"/>
      <c r="N23" s="34"/>
      <c r="O23" s="34"/>
      <c r="P23" s="34"/>
    </row>
    <row r="24" spans="1:19" ht="14.45" x14ac:dyDescent="0.25">
      <c r="A24" s="32">
        <f t="shared" si="1"/>
        <v>2012</v>
      </c>
      <c r="B24" s="32">
        <f t="shared" si="2"/>
        <v>11</v>
      </c>
      <c r="C24" s="33">
        <f>'2011'!E24+'2012'!E12</f>
        <v>0</v>
      </c>
      <c r="D24" s="38">
        <f>C24*'Forecasted Targets'!$F$56</f>
        <v>0</v>
      </c>
      <c r="E24" s="38">
        <f>$C24*'Forecasted Targets'!G$56</f>
        <v>0</v>
      </c>
      <c r="F24" s="38">
        <f>$C24*'Forecasted Targets'!H$56</f>
        <v>0</v>
      </c>
      <c r="G24" s="38">
        <f>$F24*'Comm Breakdown'!D$16</f>
        <v>0</v>
      </c>
      <c r="H24" s="38">
        <f>$F24*'Comm Breakdown'!E$16</f>
        <v>0</v>
      </c>
      <c r="I24" s="38">
        <f>$F24*'Comm Breakdown'!F$16</f>
        <v>0</v>
      </c>
      <c r="L24" s="34"/>
      <c r="M24" s="34"/>
      <c r="N24" s="34"/>
      <c r="O24" s="34"/>
      <c r="P24" s="34"/>
    </row>
    <row r="25" spans="1:19" ht="14.45" x14ac:dyDescent="0.25">
      <c r="A25" s="32">
        <f t="shared" si="1"/>
        <v>2012</v>
      </c>
      <c r="B25" s="32">
        <f t="shared" si="2"/>
        <v>12</v>
      </c>
      <c r="C25" s="33">
        <f>'2011'!E25+'2012'!E13</f>
        <v>0</v>
      </c>
      <c r="D25" s="38">
        <f>C25*'Forecasted Targets'!$F$56</f>
        <v>0</v>
      </c>
      <c r="E25" s="38">
        <f>$C25*'Forecasted Targets'!G$56</f>
        <v>0</v>
      </c>
      <c r="F25" s="38">
        <f>$C25*'Forecasted Targets'!H$56</f>
        <v>0</v>
      </c>
      <c r="G25" s="38">
        <f>$F25*'Comm Breakdown'!D$16</f>
        <v>0</v>
      </c>
      <c r="H25" s="38">
        <f>$F25*'Comm Breakdown'!E$16</f>
        <v>0</v>
      </c>
      <c r="I25" s="38">
        <f>$F25*'Comm Breakdown'!F$16</f>
        <v>0</v>
      </c>
      <c r="L25" s="34"/>
      <c r="M25" s="34"/>
      <c r="N25" s="34"/>
      <c r="O25" s="34"/>
      <c r="P25" s="34"/>
    </row>
    <row r="26" spans="1:19" ht="14.45" x14ac:dyDescent="0.25">
      <c r="A26" s="32">
        <f t="shared" si="1"/>
        <v>2013</v>
      </c>
      <c r="B26" s="32">
        <f t="shared" si="2"/>
        <v>1</v>
      </c>
      <c r="C26" s="33">
        <f>'2012'!E14+'2013'!E2</f>
        <v>0</v>
      </c>
      <c r="D26" s="38">
        <f>C26*'Forecasted Targets'!$F$57</f>
        <v>0</v>
      </c>
      <c r="E26" s="38">
        <f>$C26*'Forecasted Targets'!G$57</f>
        <v>0</v>
      </c>
      <c r="F26" s="38">
        <f>$C26*'Forecasted Targets'!H$57</f>
        <v>0</v>
      </c>
      <c r="G26" s="38">
        <f>$F26*'Comm Breakdown'!D$17</f>
        <v>0</v>
      </c>
      <c r="H26" s="38">
        <f>$F26*'Comm Breakdown'!E$17</f>
        <v>0</v>
      </c>
      <c r="I26" s="38">
        <f>$F26*'Comm Breakdown'!F$17</f>
        <v>0</v>
      </c>
      <c r="L26" s="34"/>
      <c r="M26" s="34"/>
      <c r="N26" s="34"/>
      <c r="O26" s="34"/>
      <c r="P26" s="34"/>
    </row>
    <row r="27" spans="1:19" ht="14.45" x14ac:dyDescent="0.25">
      <c r="A27" s="32">
        <f t="shared" si="1"/>
        <v>2013</v>
      </c>
      <c r="B27" s="32">
        <f t="shared" si="2"/>
        <v>2</v>
      </c>
      <c r="C27" s="33">
        <f>'2012'!E15+'2013'!E3</f>
        <v>0</v>
      </c>
      <c r="D27" s="38">
        <f>C27*'Forecasted Targets'!$F$57</f>
        <v>0</v>
      </c>
      <c r="E27" s="38">
        <f>$C27*'Forecasted Targets'!G$57</f>
        <v>0</v>
      </c>
      <c r="F27" s="38">
        <f>$C27*'Forecasted Targets'!H$57</f>
        <v>0</v>
      </c>
      <c r="G27" s="38">
        <f>$F27*'Comm Breakdown'!D$17</f>
        <v>0</v>
      </c>
      <c r="H27" s="38">
        <f>$F27*'Comm Breakdown'!E$17</f>
        <v>0</v>
      </c>
      <c r="I27" s="38">
        <f>$F27*'Comm Breakdown'!F$17</f>
        <v>0</v>
      </c>
      <c r="L27" s="34"/>
      <c r="M27" s="34"/>
      <c r="N27" s="34"/>
      <c r="O27" s="34"/>
      <c r="P27" s="34"/>
    </row>
    <row r="28" spans="1:19" ht="14.45" x14ac:dyDescent="0.25">
      <c r="A28" s="32">
        <f t="shared" si="1"/>
        <v>2013</v>
      </c>
      <c r="B28" s="32">
        <f t="shared" si="2"/>
        <v>3</v>
      </c>
      <c r="C28" s="33">
        <f>'2012'!E16+'2013'!E4</f>
        <v>0</v>
      </c>
      <c r="D28" s="38">
        <f>C28*'Forecasted Targets'!$F$57</f>
        <v>0</v>
      </c>
      <c r="E28" s="38">
        <f>$C28*'Forecasted Targets'!G$57</f>
        <v>0</v>
      </c>
      <c r="F28" s="38">
        <f>$C28*'Forecasted Targets'!H$57</f>
        <v>0</v>
      </c>
      <c r="G28" s="38">
        <f>$F28*'Comm Breakdown'!D$17</f>
        <v>0</v>
      </c>
      <c r="H28" s="38">
        <f>$F28*'Comm Breakdown'!E$17</f>
        <v>0</v>
      </c>
      <c r="I28" s="38">
        <f>$F28*'Comm Breakdown'!F$17</f>
        <v>0</v>
      </c>
      <c r="L28" s="34"/>
      <c r="M28" s="34"/>
      <c r="O28" s="34"/>
      <c r="P28" s="34"/>
    </row>
    <row r="29" spans="1:19" ht="14.45" x14ac:dyDescent="0.25">
      <c r="A29" s="32">
        <f t="shared" si="1"/>
        <v>2013</v>
      </c>
      <c r="B29" s="32">
        <f t="shared" si="2"/>
        <v>4</v>
      </c>
      <c r="C29" s="33">
        <f>'2012'!E17+'2013'!E5</f>
        <v>0</v>
      </c>
      <c r="D29" s="38">
        <f>C29*'Forecasted Targets'!$F$57</f>
        <v>0</v>
      </c>
      <c r="E29" s="38">
        <f>$C29*'Forecasted Targets'!G$57</f>
        <v>0</v>
      </c>
      <c r="F29" s="38">
        <f>$C29*'Forecasted Targets'!H$57</f>
        <v>0</v>
      </c>
      <c r="G29" s="38">
        <f>$F29*'Comm Breakdown'!D$17</f>
        <v>0</v>
      </c>
      <c r="H29" s="38">
        <f>$F29*'Comm Breakdown'!E$17</f>
        <v>0</v>
      </c>
      <c r="I29" s="38">
        <f>$F29*'Comm Breakdown'!F$17</f>
        <v>0</v>
      </c>
      <c r="L29" s="34"/>
      <c r="M29" s="34"/>
      <c r="N29" s="34"/>
      <c r="O29" s="34"/>
      <c r="P29" s="34"/>
    </row>
    <row r="30" spans="1:19" ht="14.45" x14ac:dyDescent="0.25">
      <c r="A30" s="32">
        <f t="shared" si="1"/>
        <v>2013</v>
      </c>
      <c r="B30" s="32">
        <f t="shared" si="2"/>
        <v>5</v>
      </c>
      <c r="C30" s="33">
        <f>'2012'!E18+'2013'!E6</f>
        <v>0</v>
      </c>
      <c r="D30" s="38">
        <f>C30*'Forecasted Targets'!$F$57</f>
        <v>0</v>
      </c>
      <c r="E30" s="38">
        <f>$C30*'Forecasted Targets'!G$57</f>
        <v>0</v>
      </c>
      <c r="F30" s="38">
        <f>$C30*'Forecasted Targets'!H$57</f>
        <v>0</v>
      </c>
      <c r="G30" s="38">
        <f>$F30*'Comm Breakdown'!D$17</f>
        <v>0</v>
      </c>
      <c r="H30" s="38">
        <f>$F30*'Comm Breakdown'!E$17</f>
        <v>0</v>
      </c>
      <c r="I30" s="38">
        <f>$F30*'Comm Breakdown'!F$17</f>
        <v>0</v>
      </c>
      <c r="L30" s="34"/>
      <c r="M30" s="34"/>
      <c r="N30" s="34"/>
      <c r="O30" s="34"/>
      <c r="P30" s="34"/>
    </row>
    <row r="31" spans="1:19" ht="14.45" x14ac:dyDescent="0.25">
      <c r="A31" s="32">
        <f t="shared" si="1"/>
        <v>2013</v>
      </c>
      <c r="B31" s="32">
        <f t="shared" si="2"/>
        <v>6</v>
      </c>
      <c r="C31" s="33">
        <f>'2012'!E19+'2013'!E7</f>
        <v>0</v>
      </c>
      <c r="D31" s="38">
        <f>C31*'Forecasted Targets'!$F$57</f>
        <v>0</v>
      </c>
      <c r="E31" s="38">
        <f>$C31*'Forecasted Targets'!G$57</f>
        <v>0</v>
      </c>
      <c r="F31" s="38">
        <f>$C31*'Forecasted Targets'!H$57</f>
        <v>0</v>
      </c>
      <c r="G31" s="38">
        <f>$F31*'Comm Breakdown'!D$17</f>
        <v>0</v>
      </c>
      <c r="H31" s="38">
        <f>$F31*'Comm Breakdown'!E$17</f>
        <v>0</v>
      </c>
      <c r="I31" s="38">
        <f>$F31*'Comm Breakdown'!F$17</f>
        <v>0</v>
      </c>
      <c r="L31" s="34"/>
      <c r="M31" s="34"/>
      <c r="N31" s="34"/>
      <c r="O31" s="34"/>
      <c r="P31" s="34"/>
    </row>
    <row r="32" spans="1:19" ht="14.45" x14ac:dyDescent="0.25">
      <c r="A32" s="32">
        <f t="shared" si="1"/>
        <v>2013</v>
      </c>
      <c r="B32" s="32">
        <f t="shared" si="2"/>
        <v>7</v>
      </c>
      <c r="C32" s="33">
        <f>'2012'!E20+'2013'!E8</f>
        <v>0</v>
      </c>
      <c r="D32" s="38">
        <f>C32*'Forecasted Targets'!$F$57</f>
        <v>0</v>
      </c>
      <c r="E32" s="38">
        <f>$C32*'Forecasted Targets'!G$57</f>
        <v>0</v>
      </c>
      <c r="F32" s="38">
        <f>$C32*'Forecasted Targets'!H$57</f>
        <v>0</v>
      </c>
      <c r="G32" s="38">
        <f>$F32*'Comm Breakdown'!D$17</f>
        <v>0</v>
      </c>
      <c r="H32" s="38">
        <f>$F32*'Comm Breakdown'!E$17</f>
        <v>0</v>
      </c>
      <c r="I32" s="38">
        <f>$F32*'Comm Breakdown'!F$17</f>
        <v>0</v>
      </c>
      <c r="L32" s="34"/>
      <c r="M32" s="34"/>
      <c r="N32" s="34"/>
      <c r="O32" s="34"/>
      <c r="P32" s="34"/>
      <c r="S32" s="1"/>
    </row>
    <row r="33" spans="1:26" ht="14.45" x14ac:dyDescent="0.25">
      <c r="A33" s="32">
        <f t="shared" si="1"/>
        <v>2013</v>
      </c>
      <c r="B33" s="32">
        <f t="shared" si="2"/>
        <v>8</v>
      </c>
      <c r="C33" s="33">
        <f>'2012'!E21+'2013'!E9</f>
        <v>0</v>
      </c>
      <c r="D33" s="38">
        <f>C33*'Forecasted Targets'!$F$57</f>
        <v>0</v>
      </c>
      <c r="E33" s="38">
        <f>$C33*'Forecasted Targets'!G$57</f>
        <v>0</v>
      </c>
      <c r="F33" s="38">
        <f>$C33*'Forecasted Targets'!H$57</f>
        <v>0</v>
      </c>
      <c r="G33" s="38">
        <f>$F33*'Comm Breakdown'!D$17</f>
        <v>0</v>
      </c>
      <c r="H33" s="38">
        <f>$F33*'Comm Breakdown'!E$17</f>
        <v>0</v>
      </c>
      <c r="I33" s="38">
        <f>$F33*'Comm Breakdown'!F$17</f>
        <v>0</v>
      </c>
      <c r="L33" s="34"/>
      <c r="M33" s="34"/>
      <c r="N33" s="34"/>
      <c r="O33" s="34"/>
      <c r="P33" s="34"/>
      <c r="S33" s="1"/>
    </row>
    <row r="34" spans="1:26" ht="14.45" x14ac:dyDescent="0.25">
      <c r="A34" s="32">
        <f t="shared" si="1"/>
        <v>2013</v>
      </c>
      <c r="B34" s="32">
        <f t="shared" si="2"/>
        <v>9</v>
      </c>
      <c r="C34" s="33">
        <f>'2012'!E22+'2013'!E10</f>
        <v>0</v>
      </c>
      <c r="D34" s="38">
        <f>C34*'Forecasted Targets'!$F$57</f>
        <v>0</v>
      </c>
      <c r="E34" s="38">
        <f>$C34*'Forecasted Targets'!G$57</f>
        <v>0</v>
      </c>
      <c r="F34" s="38">
        <f>$C34*'Forecasted Targets'!H$57</f>
        <v>0</v>
      </c>
      <c r="G34" s="38">
        <f>$F34*'Comm Breakdown'!D$17</f>
        <v>0</v>
      </c>
      <c r="H34" s="38">
        <f>$F34*'Comm Breakdown'!E$17</f>
        <v>0</v>
      </c>
      <c r="I34" s="38">
        <f>$F34*'Comm Breakdown'!F$17</f>
        <v>0</v>
      </c>
      <c r="L34" s="34"/>
      <c r="M34" s="34"/>
      <c r="N34" s="34"/>
      <c r="O34" s="34"/>
      <c r="P34" s="34"/>
      <c r="S34" s="1"/>
    </row>
    <row r="35" spans="1:26" ht="14.45" x14ac:dyDescent="0.25">
      <c r="A35" s="32">
        <f t="shared" si="1"/>
        <v>2013</v>
      </c>
      <c r="B35" s="32">
        <f t="shared" si="2"/>
        <v>10</v>
      </c>
      <c r="C35" s="33">
        <f>'2012'!E23+'2013'!E11</f>
        <v>0</v>
      </c>
      <c r="D35" s="38">
        <f>C35*'Forecasted Targets'!$F$57</f>
        <v>0</v>
      </c>
      <c r="E35" s="38">
        <f>$C35*'Forecasted Targets'!G$57</f>
        <v>0</v>
      </c>
      <c r="F35" s="38">
        <f>$C35*'Forecasted Targets'!H$57</f>
        <v>0</v>
      </c>
      <c r="G35" s="38">
        <f>$F35*'Comm Breakdown'!D$17</f>
        <v>0</v>
      </c>
      <c r="H35" s="38">
        <f>$F35*'Comm Breakdown'!E$17</f>
        <v>0</v>
      </c>
      <c r="I35" s="38">
        <f>$F35*'Comm Breakdown'!F$17</f>
        <v>0</v>
      </c>
      <c r="P35" s="34"/>
      <c r="S35" s="1"/>
    </row>
    <row r="36" spans="1:26" ht="14.45" x14ac:dyDescent="0.25">
      <c r="A36" s="32">
        <f t="shared" si="1"/>
        <v>2013</v>
      </c>
      <c r="B36" s="32">
        <f t="shared" si="2"/>
        <v>11</v>
      </c>
      <c r="C36" s="33">
        <f>'2012'!E24+'2013'!E12</f>
        <v>0</v>
      </c>
      <c r="D36" s="38">
        <f>C36*'Forecasted Targets'!$F$57</f>
        <v>0</v>
      </c>
      <c r="E36" s="38">
        <f>$C36*'Forecasted Targets'!G$57</f>
        <v>0</v>
      </c>
      <c r="F36" s="38">
        <f>$C36*'Forecasted Targets'!H$57</f>
        <v>0</v>
      </c>
      <c r="G36" s="38">
        <f>$F36*'Comm Breakdown'!D$17</f>
        <v>0</v>
      </c>
      <c r="H36" s="38">
        <f>$F36*'Comm Breakdown'!E$17</f>
        <v>0</v>
      </c>
      <c r="I36" s="38">
        <f>$F36*'Comm Breakdown'!F$17</f>
        <v>0</v>
      </c>
      <c r="L36" s="34"/>
      <c r="M36" s="34"/>
      <c r="N36" s="7"/>
      <c r="O36" s="34"/>
      <c r="P36" s="34"/>
      <c r="S36" s="1"/>
    </row>
    <row r="37" spans="1:26" ht="14.45" x14ac:dyDescent="0.25">
      <c r="A37" s="32">
        <f t="shared" si="1"/>
        <v>2013</v>
      </c>
      <c r="B37" s="32">
        <f t="shared" si="2"/>
        <v>12</v>
      </c>
      <c r="C37" s="33">
        <f>'2012'!E25+'2013'!E13</f>
        <v>0</v>
      </c>
      <c r="D37" s="38">
        <f>C37*'Forecasted Targets'!$F$57</f>
        <v>0</v>
      </c>
      <c r="E37" s="38">
        <f>$C37*'Forecasted Targets'!G$57</f>
        <v>0</v>
      </c>
      <c r="F37" s="38">
        <f>$C37*'Forecasted Targets'!H$57</f>
        <v>0</v>
      </c>
      <c r="G37" s="38">
        <f>$F37*'Comm Breakdown'!D$17</f>
        <v>0</v>
      </c>
      <c r="H37" s="38">
        <f>$F37*'Comm Breakdown'!E$17</f>
        <v>0</v>
      </c>
      <c r="I37" s="38">
        <f>$F37*'Comm Breakdown'!F$17</f>
        <v>0</v>
      </c>
      <c r="L37" s="32"/>
      <c r="M37" s="32"/>
      <c r="N37" s="32"/>
      <c r="O37" s="32"/>
      <c r="P37" s="34"/>
      <c r="S37" s="1"/>
    </row>
    <row r="38" spans="1:26" x14ac:dyDescent="0.25">
      <c r="A38" s="32">
        <f t="shared" si="1"/>
        <v>2014</v>
      </c>
      <c r="B38" s="32">
        <f t="shared" si="2"/>
        <v>1</v>
      </c>
      <c r="C38" s="158">
        <f>'2013'!E14+'2014'!E2</f>
        <v>181.19658119658121</v>
      </c>
      <c r="D38" s="38">
        <f>C38*'Forecasted Targets'!$F$58</f>
        <v>35.311269445030497</v>
      </c>
      <c r="E38" s="38">
        <f>$C38*'Forecasted Targets'!G$58</f>
        <v>18.119658119658123</v>
      </c>
      <c r="F38" s="38">
        <f>$C38*'Forecasted Targets'!H$58</f>
        <v>127.7656536318926</v>
      </c>
      <c r="G38" s="38">
        <f>$F38*'Comm Breakdown'!D$18</f>
        <v>60.881241275175562</v>
      </c>
      <c r="H38" s="38">
        <f>$F38*'Comm Breakdown'!E$18</f>
        <v>51.459008815470717</v>
      </c>
      <c r="I38" s="38">
        <f>$F38*'Comm Breakdown'!F$18</f>
        <v>15.425403541246338</v>
      </c>
      <c r="K38" s="160">
        <f t="shared" ref="K38:K45" si="3">C38</f>
        <v>181.19658119658121</v>
      </c>
      <c r="L38" s="38"/>
      <c r="M38" s="38"/>
      <c r="N38" s="38"/>
      <c r="O38" s="38"/>
      <c r="P38" s="38"/>
      <c r="Q38" s="38"/>
      <c r="R38" s="38"/>
      <c r="S38" s="1"/>
      <c r="T38" s="1"/>
      <c r="U38" s="1"/>
      <c r="V38" s="1"/>
      <c r="W38" s="1"/>
      <c r="X38" s="1"/>
      <c r="Y38" s="1"/>
      <c r="Z38" s="121"/>
    </row>
    <row r="39" spans="1:26" x14ac:dyDescent="0.25">
      <c r="A39" s="32">
        <f t="shared" si="1"/>
        <v>2014</v>
      </c>
      <c r="B39" s="32">
        <f t="shared" si="2"/>
        <v>2</v>
      </c>
      <c r="C39" s="158">
        <f>'2013'!E15+'2014'!E3</f>
        <v>362.39316239316241</v>
      </c>
      <c r="D39" s="38">
        <f>C39*'Forecasted Targets'!$F$58</f>
        <v>70.622538890060994</v>
      </c>
      <c r="E39" s="38">
        <f>$C39*'Forecasted Targets'!G$58</f>
        <v>36.239316239316246</v>
      </c>
      <c r="F39" s="38">
        <f>$C39*'Forecasted Targets'!H$58</f>
        <v>255.53130726378521</v>
      </c>
      <c r="G39" s="38">
        <f>$F39*'Comm Breakdown'!D$18</f>
        <v>121.76248255035112</v>
      </c>
      <c r="H39" s="38">
        <f>$F39*'Comm Breakdown'!E$18</f>
        <v>102.91801763094143</v>
      </c>
      <c r="I39" s="38">
        <f>$F39*'Comm Breakdown'!F$18</f>
        <v>30.850807082492675</v>
      </c>
      <c r="K39" s="160">
        <f t="shared" si="3"/>
        <v>362.39316239316241</v>
      </c>
      <c r="L39" s="38"/>
      <c r="M39" s="38"/>
      <c r="N39" s="38"/>
      <c r="O39" s="38"/>
      <c r="P39" s="38"/>
      <c r="Q39" s="38"/>
      <c r="R39" s="38"/>
      <c r="S39" s="1"/>
      <c r="T39" s="1"/>
      <c r="U39" s="1"/>
      <c r="V39" s="1"/>
      <c r="W39" s="1"/>
      <c r="X39" s="1"/>
      <c r="Y39" s="1"/>
      <c r="Z39" s="121"/>
    </row>
    <row r="40" spans="1:26" x14ac:dyDescent="0.25">
      <c r="A40" s="32">
        <f t="shared" si="1"/>
        <v>2014</v>
      </c>
      <c r="B40" s="32">
        <f t="shared" si="2"/>
        <v>3</v>
      </c>
      <c r="C40" s="158">
        <f>'2013'!E16+'2014'!E4</f>
        <v>543.58974358974365</v>
      </c>
      <c r="D40" s="38">
        <f>C40*'Forecasted Targets'!$F$58</f>
        <v>105.9338083350915</v>
      </c>
      <c r="E40" s="38">
        <f>$C40*'Forecasted Targets'!G$58</f>
        <v>54.358974358974365</v>
      </c>
      <c r="F40" s="38">
        <f>$C40*'Forecasted Targets'!H$58</f>
        <v>383.29696089567784</v>
      </c>
      <c r="G40" s="38">
        <f>$F40*'Comm Breakdown'!D$18</f>
        <v>182.64372382552668</v>
      </c>
      <c r="H40" s="38">
        <f>$F40*'Comm Breakdown'!E$18</f>
        <v>154.37702644641215</v>
      </c>
      <c r="I40" s="38">
        <f>$F40*'Comm Breakdown'!F$18</f>
        <v>46.276210623739019</v>
      </c>
      <c r="K40" s="160">
        <f t="shared" si="3"/>
        <v>543.58974358974365</v>
      </c>
      <c r="L40" s="38"/>
      <c r="M40" s="38"/>
      <c r="N40" s="38"/>
      <c r="O40" s="38"/>
      <c r="P40" s="38"/>
      <c r="Q40" s="38"/>
      <c r="R40" s="38"/>
      <c r="S40" s="1"/>
      <c r="T40" s="1"/>
      <c r="U40" s="1"/>
      <c r="V40" s="1"/>
      <c r="W40" s="1"/>
      <c r="X40" s="1"/>
      <c r="Y40" s="1"/>
      <c r="Z40" s="121"/>
    </row>
    <row r="41" spans="1:26" x14ac:dyDescent="0.25">
      <c r="A41" s="32">
        <f t="shared" si="1"/>
        <v>2014</v>
      </c>
      <c r="B41" s="32">
        <f t="shared" si="2"/>
        <v>4</v>
      </c>
      <c r="C41" s="158">
        <f>'2013'!E17+'2014'!E5</f>
        <v>724.78632478632483</v>
      </c>
      <c r="D41" s="38">
        <f>C41*'Forecasted Targets'!$F$58</f>
        <v>141.24507778012199</v>
      </c>
      <c r="E41" s="38">
        <f>$C41*'Forecasted Targets'!G$58</f>
        <v>72.478632478632491</v>
      </c>
      <c r="F41" s="38">
        <f>$C41*'Forecasted Targets'!H$58</f>
        <v>511.06261452757042</v>
      </c>
      <c r="G41" s="38">
        <f>$F41*'Comm Breakdown'!D$18</f>
        <v>243.52496510070225</v>
      </c>
      <c r="H41" s="38">
        <f>$F41*'Comm Breakdown'!E$18</f>
        <v>205.83603526188287</v>
      </c>
      <c r="I41" s="38">
        <f>$F41*'Comm Breakdown'!F$18</f>
        <v>61.701614164985351</v>
      </c>
      <c r="K41" s="160">
        <f t="shared" si="3"/>
        <v>724.78632478632483</v>
      </c>
      <c r="L41" s="38"/>
      <c r="M41" s="38"/>
      <c r="N41" s="38"/>
      <c r="O41" s="38"/>
      <c r="P41" s="38"/>
      <c r="Q41" s="38"/>
      <c r="R41" s="38"/>
      <c r="S41" s="1"/>
      <c r="T41" s="1"/>
      <c r="U41" s="1"/>
      <c r="V41" s="1"/>
      <c r="W41" s="1"/>
      <c r="X41" s="1"/>
      <c r="Y41" s="1"/>
      <c r="Z41" s="121"/>
    </row>
    <row r="42" spans="1:26" x14ac:dyDescent="0.25">
      <c r="A42" s="32">
        <f t="shared" si="1"/>
        <v>2014</v>
      </c>
      <c r="B42" s="32">
        <f t="shared" si="2"/>
        <v>5</v>
      </c>
      <c r="C42" s="158">
        <f>'2013'!E18+'2014'!E6</f>
        <v>905.98290598290612</v>
      </c>
      <c r="D42" s="38">
        <f>C42*'Forecasted Targets'!$F$58</f>
        <v>176.55634722515251</v>
      </c>
      <c r="E42" s="38">
        <f>$C42*'Forecasted Targets'!G$58</f>
        <v>90.598290598290617</v>
      </c>
      <c r="F42" s="38">
        <f>$C42*'Forecasted Targets'!H$58</f>
        <v>638.82826815946305</v>
      </c>
      <c r="G42" s="38">
        <f>$F42*'Comm Breakdown'!D$18</f>
        <v>304.40620637587779</v>
      </c>
      <c r="H42" s="38">
        <f>$F42*'Comm Breakdown'!E$18</f>
        <v>257.29504407735357</v>
      </c>
      <c r="I42" s="38">
        <f>$F42*'Comm Breakdown'!F$18</f>
        <v>77.127017706231698</v>
      </c>
      <c r="K42" s="160">
        <f t="shared" si="3"/>
        <v>905.98290598290612</v>
      </c>
      <c r="L42" s="38"/>
      <c r="M42" s="38"/>
      <c r="N42" s="38"/>
      <c r="O42" s="38"/>
      <c r="P42" s="38"/>
      <c r="Q42" s="38"/>
      <c r="R42" s="38"/>
      <c r="S42" s="1"/>
      <c r="T42" s="1"/>
      <c r="U42" s="1"/>
      <c r="V42" s="1"/>
      <c r="W42" s="1"/>
      <c r="X42" s="1"/>
      <c r="Y42" s="1"/>
      <c r="Z42" s="121"/>
    </row>
    <row r="43" spans="1:26" x14ac:dyDescent="0.25">
      <c r="A43" s="32">
        <f t="shared" si="1"/>
        <v>2014</v>
      </c>
      <c r="B43" s="32">
        <f t="shared" si="2"/>
        <v>6</v>
      </c>
      <c r="C43" s="158">
        <f>'2013'!E19+'2014'!E7</f>
        <v>1087.1794871794873</v>
      </c>
      <c r="D43" s="38">
        <f>C43*'Forecasted Targets'!$F$58</f>
        <v>211.867616670183</v>
      </c>
      <c r="E43" s="38">
        <f>$C43*'Forecasted Targets'!G$58</f>
        <v>108.71794871794873</v>
      </c>
      <c r="F43" s="38">
        <f>$C43*'Forecasted Targets'!H$58</f>
        <v>766.59392179135568</v>
      </c>
      <c r="G43" s="38">
        <f>$F43*'Comm Breakdown'!D$18</f>
        <v>365.28744765105336</v>
      </c>
      <c r="H43" s="38">
        <f>$F43*'Comm Breakdown'!E$18</f>
        <v>308.75405289282429</v>
      </c>
      <c r="I43" s="38">
        <f>$F43*'Comm Breakdown'!F$18</f>
        <v>92.552421247478037</v>
      </c>
      <c r="K43" s="160">
        <f t="shared" si="3"/>
        <v>1087.1794871794873</v>
      </c>
      <c r="L43" s="38"/>
      <c r="M43" s="38"/>
      <c r="N43" s="38"/>
      <c r="O43" s="38"/>
      <c r="P43" s="38"/>
      <c r="Q43" s="38"/>
      <c r="R43" s="38"/>
      <c r="S43" s="1"/>
      <c r="T43" s="1"/>
      <c r="U43" s="1"/>
      <c r="V43" s="1"/>
      <c r="W43" s="1"/>
      <c r="X43" s="1"/>
      <c r="Y43" s="1"/>
      <c r="Z43" s="121"/>
    </row>
    <row r="44" spans="1:26" s="127" customFormat="1" x14ac:dyDescent="0.25">
      <c r="A44" s="125">
        <f t="shared" si="1"/>
        <v>2014</v>
      </c>
      <c r="B44" s="125">
        <f t="shared" si="2"/>
        <v>7</v>
      </c>
      <c r="C44" s="159">
        <f>'2013'!E20+'2014'!E8</f>
        <v>1268.3760683760686</v>
      </c>
      <c r="D44" s="126">
        <f>C44*'Forecasted Targets'!$F$58</f>
        <v>247.17888611521352</v>
      </c>
      <c r="E44" s="126">
        <f>$C44*'Forecasted Targets'!G$58</f>
        <v>126.83760683760687</v>
      </c>
      <c r="F44" s="126">
        <f>$C44*'Forecasted Targets'!H$58</f>
        <v>894.35957542324832</v>
      </c>
      <c r="G44" s="126">
        <f>$F44*'Comm Breakdown'!D$18</f>
        <v>426.16868892622892</v>
      </c>
      <c r="H44" s="126">
        <f>$F44*'Comm Breakdown'!E$18</f>
        <v>360.21306170829502</v>
      </c>
      <c r="I44" s="126">
        <f>$F44*'Comm Breakdown'!F$18</f>
        <v>107.97782478872438</v>
      </c>
      <c r="K44" s="160">
        <f t="shared" si="3"/>
        <v>1268.3760683760686</v>
      </c>
      <c r="L44" s="126"/>
      <c r="M44" s="126"/>
      <c r="N44" s="126"/>
      <c r="O44" s="126"/>
      <c r="P44" s="126"/>
      <c r="Q44" s="126"/>
      <c r="R44" s="126"/>
      <c r="S44" s="128"/>
      <c r="T44" s="128"/>
      <c r="U44" s="128"/>
      <c r="V44" s="128"/>
      <c r="W44" s="128"/>
      <c r="X44" s="128"/>
      <c r="Y44" s="128"/>
      <c r="Z44" s="129"/>
    </row>
    <row r="45" spans="1:26" x14ac:dyDescent="0.25">
      <c r="A45" s="32">
        <f t="shared" si="1"/>
        <v>2014</v>
      </c>
      <c r="B45" s="32">
        <f t="shared" si="2"/>
        <v>8</v>
      </c>
      <c r="C45" s="158">
        <f>'2013'!E21+'2014'!E9</f>
        <v>1449.5726495726497</v>
      </c>
      <c r="D45" s="38">
        <f>C45*'Forecasted Targets'!$F$58</f>
        <v>282.49015556024398</v>
      </c>
      <c r="E45" s="38">
        <f>$C45*'Forecasted Targets'!G$58</f>
        <v>144.95726495726498</v>
      </c>
      <c r="F45" s="38">
        <f>$C45*'Forecasted Targets'!H$58</f>
        <v>1022.1252290551408</v>
      </c>
      <c r="G45" s="38">
        <f>$F45*'Comm Breakdown'!D$18</f>
        <v>487.04993020140449</v>
      </c>
      <c r="H45" s="38">
        <f>$F45*'Comm Breakdown'!E$18</f>
        <v>411.67207052376574</v>
      </c>
      <c r="I45" s="38">
        <f>$F45*'Comm Breakdown'!F$18</f>
        <v>123.4032283299707</v>
      </c>
      <c r="K45" s="160">
        <f t="shared" si="3"/>
        <v>1449.5726495726497</v>
      </c>
      <c r="L45" s="38"/>
      <c r="M45" s="38"/>
      <c r="N45" s="38"/>
      <c r="O45" s="38"/>
      <c r="P45" s="38"/>
      <c r="Q45" s="38"/>
      <c r="R45" s="38"/>
      <c r="S45" s="1"/>
      <c r="T45" s="1"/>
      <c r="U45" s="1"/>
      <c r="V45" s="1"/>
      <c r="W45" s="1"/>
      <c r="X45" s="1"/>
      <c r="Y45" s="1"/>
      <c r="Z45" s="121"/>
    </row>
    <row r="46" spans="1:26" s="118" customFormat="1" x14ac:dyDescent="0.25">
      <c r="A46" s="116">
        <f t="shared" si="1"/>
        <v>2014</v>
      </c>
      <c r="B46" s="116">
        <f t="shared" si="2"/>
        <v>9</v>
      </c>
      <c r="C46" s="158">
        <f>'2013'!E22+'2014'!E10</f>
        <v>1630.7692307692309</v>
      </c>
      <c r="D46" s="117">
        <f>C46*'Forecasted Targets'!$F$58</f>
        <v>317.8014250052745</v>
      </c>
      <c r="E46" s="117">
        <f>$C46*'Forecasted Targets'!G$58</f>
        <v>163.07692307692309</v>
      </c>
      <c r="F46" s="117">
        <f>$C46*'Forecasted Targets'!H$58</f>
        <v>1149.8908826870336</v>
      </c>
      <c r="G46" s="117">
        <f>$F46*'Comm Breakdown'!D$18</f>
        <v>547.93117147658006</v>
      </c>
      <c r="H46" s="117">
        <f>$F46*'Comm Breakdown'!E$18</f>
        <v>463.13107933923646</v>
      </c>
      <c r="I46" s="117">
        <f>$F46*'Comm Breakdown'!F$18</f>
        <v>138.82863187121706</v>
      </c>
      <c r="K46" s="117">
        <f>C46</f>
        <v>1630.7692307692309</v>
      </c>
      <c r="L46" s="117">
        <f t="shared" ref="L46:L49" si="4">D46</f>
        <v>317.8014250052745</v>
      </c>
      <c r="M46" s="117">
        <f t="shared" ref="M46:Q49" si="5">E46</f>
        <v>163.07692307692309</v>
      </c>
      <c r="N46" s="117">
        <f t="shared" si="5"/>
        <v>1149.8908826870336</v>
      </c>
      <c r="O46" s="117">
        <f t="shared" si="5"/>
        <v>547.93117147658006</v>
      </c>
      <c r="P46" s="117">
        <f t="shared" si="5"/>
        <v>463.13107933923646</v>
      </c>
      <c r="Q46" s="117">
        <f t="shared" si="5"/>
        <v>138.82863187121706</v>
      </c>
      <c r="R46" s="117"/>
      <c r="S46" s="130">
        <f>K46</f>
        <v>1630.7692307692309</v>
      </c>
      <c r="T46" s="130">
        <f t="shared" ref="T46:Y46" si="6">L46</f>
        <v>317.8014250052745</v>
      </c>
      <c r="U46" s="130">
        <f t="shared" si="6"/>
        <v>163.07692307692309</v>
      </c>
      <c r="V46" s="130">
        <f t="shared" si="6"/>
        <v>1149.8908826870336</v>
      </c>
      <c r="W46" s="130">
        <f t="shared" si="6"/>
        <v>547.93117147658006</v>
      </c>
      <c r="X46" s="130">
        <f t="shared" si="6"/>
        <v>463.13107933923646</v>
      </c>
      <c r="Y46" s="130">
        <f t="shared" si="6"/>
        <v>138.82863187121706</v>
      </c>
      <c r="Z46" s="122"/>
    </row>
    <row r="47" spans="1:26" x14ac:dyDescent="0.25">
      <c r="A47" s="32">
        <f t="shared" si="1"/>
        <v>2014</v>
      </c>
      <c r="B47" s="32">
        <f t="shared" si="2"/>
        <v>10</v>
      </c>
      <c r="C47" s="158">
        <f>'2013'!E23+'2014'!E11</f>
        <v>1811.9658119658122</v>
      </c>
      <c r="D47" s="38">
        <f>C47*'Forecasted Targets'!$F$58</f>
        <v>353.11269445030501</v>
      </c>
      <c r="E47" s="38">
        <f>$C47*'Forecasted Targets'!G$58</f>
        <v>181.19658119658123</v>
      </c>
      <c r="F47" s="38">
        <f>$C47*'Forecasted Targets'!H$58</f>
        <v>1277.6565363189261</v>
      </c>
      <c r="G47" s="38">
        <f>$F47*'Comm Breakdown'!D$18</f>
        <v>608.81241275175557</v>
      </c>
      <c r="H47" s="38">
        <f>$F47*'Comm Breakdown'!E$18</f>
        <v>514.59008815470713</v>
      </c>
      <c r="I47" s="38">
        <f>$F47*'Comm Breakdown'!F$18</f>
        <v>154.2540354124634</v>
      </c>
      <c r="K47" s="38">
        <f>C47</f>
        <v>1811.9658119658122</v>
      </c>
      <c r="L47" s="38">
        <f t="shared" si="4"/>
        <v>353.11269445030501</v>
      </c>
      <c r="M47" s="38">
        <f t="shared" si="5"/>
        <v>181.19658119658123</v>
      </c>
      <c r="N47" s="38">
        <f t="shared" si="5"/>
        <v>1277.6565363189261</v>
      </c>
      <c r="O47" s="38">
        <f t="shared" si="5"/>
        <v>608.81241275175557</v>
      </c>
      <c r="P47" s="38">
        <f t="shared" si="5"/>
        <v>514.59008815470713</v>
      </c>
      <c r="Q47" s="38">
        <f t="shared" si="5"/>
        <v>154.2540354124634</v>
      </c>
      <c r="R47" s="38"/>
      <c r="S47" s="1">
        <f>S46*(S$58/S$46)^(1/12)</f>
        <v>1779.0682366070255</v>
      </c>
      <c r="T47" s="1">
        <f>T46*(T$58/T$46)^(1/12)</f>
        <v>342.06287144120643</v>
      </c>
      <c r="U47" s="1">
        <f t="shared" ref="T47:Y57" si="7">U46*(U$58/U$46)^(1/12)</f>
        <v>177.90682366070254</v>
      </c>
      <c r="V47" s="1">
        <f t="shared" si="7"/>
        <v>1258.6925110378729</v>
      </c>
      <c r="W47" s="1">
        <f t="shared" si="7"/>
        <v>599.27100424590662</v>
      </c>
      <c r="X47" s="1">
        <f t="shared" si="7"/>
        <v>507.40809853911418</v>
      </c>
      <c r="Y47" s="1">
        <f t="shared" si="7"/>
        <v>152.00874347877757</v>
      </c>
      <c r="Z47" s="121"/>
    </row>
    <row r="48" spans="1:26" x14ac:dyDescent="0.25">
      <c r="A48" s="32">
        <f t="shared" si="1"/>
        <v>2014</v>
      </c>
      <c r="B48" s="32">
        <f t="shared" si="2"/>
        <v>11</v>
      </c>
      <c r="C48" s="158">
        <f>'2013'!E24+'2014'!E12</f>
        <v>1993.1623931623933</v>
      </c>
      <c r="D48" s="38">
        <f>C48*'Forecasted Targets'!$F$58</f>
        <v>388.42396389533548</v>
      </c>
      <c r="E48" s="38">
        <f>$C48*'Forecasted Targets'!G$58</f>
        <v>199.31623931623935</v>
      </c>
      <c r="F48" s="38">
        <f>$C48*'Forecasted Targets'!H$58</f>
        <v>1405.4221899508186</v>
      </c>
      <c r="G48" s="38">
        <f>$F48*'Comm Breakdown'!D$18</f>
        <v>669.69365402693109</v>
      </c>
      <c r="H48" s="38">
        <f>$F48*'Comm Breakdown'!E$18</f>
        <v>566.04909697017786</v>
      </c>
      <c r="I48" s="38">
        <f>$F48*'Comm Breakdown'!F$18</f>
        <v>169.67943895370971</v>
      </c>
      <c r="K48" s="38">
        <f t="shared" ref="K48" si="8">C48</f>
        <v>1993.1623931623933</v>
      </c>
      <c r="L48" s="38">
        <f t="shared" si="4"/>
        <v>388.42396389533548</v>
      </c>
      <c r="M48" s="38">
        <f t="shared" si="5"/>
        <v>199.31623931623935</v>
      </c>
      <c r="N48" s="38">
        <f>F48</f>
        <v>1405.4221899508186</v>
      </c>
      <c r="O48" s="38">
        <f t="shared" si="5"/>
        <v>669.69365402693109</v>
      </c>
      <c r="P48" s="38">
        <f t="shared" si="5"/>
        <v>566.04909697017786</v>
      </c>
      <c r="Q48" s="38">
        <f t="shared" si="5"/>
        <v>169.67943895370971</v>
      </c>
      <c r="R48" s="38"/>
      <c r="S48" s="1">
        <f t="shared" ref="S48:S57" si="9">S47*(S$58/S$46)^(1/12)</f>
        <v>1940.8532677619057</v>
      </c>
      <c r="T48" s="1">
        <f t="shared" si="7"/>
        <v>368.1764737733991</v>
      </c>
      <c r="U48" s="1">
        <f t="shared" si="7"/>
        <v>194.08532677619056</v>
      </c>
      <c r="V48" s="1">
        <f t="shared" si="7"/>
        <v>1377.7888504000143</v>
      </c>
      <c r="W48" s="1">
        <f t="shared" si="7"/>
        <v>655.42125585247402</v>
      </c>
      <c r="X48" s="1">
        <f t="shared" si="7"/>
        <v>555.91816215489109</v>
      </c>
      <c r="Y48" s="1">
        <f t="shared" si="7"/>
        <v>166.44014842292373</v>
      </c>
      <c r="Z48" s="121"/>
    </row>
    <row r="49" spans="1:26" x14ac:dyDescent="0.25">
      <c r="A49" s="32">
        <f t="shared" si="1"/>
        <v>2014</v>
      </c>
      <c r="B49" s="32">
        <f t="shared" si="2"/>
        <v>12</v>
      </c>
      <c r="C49" s="158">
        <f>'2013'!E25+'2014'!E13</f>
        <v>2174.3589743589746</v>
      </c>
      <c r="D49" s="38">
        <f>C49*'Forecasted Targets'!$F$58</f>
        <v>423.73523334036599</v>
      </c>
      <c r="E49" s="38">
        <f>$C49*'Forecasted Targets'!G$58</f>
        <v>217.43589743589746</v>
      </c>
      <c r="F49" s="38">
        <f>$C49*'Forecasted Targets'!H$58</f>
        <v>1533.1878435827114</v>
      </c>
      <c r="G49" s="38">
        <f>$F49*'Comm Breakdown'!D$18</f>
        <v>730.57489530210671</v>
      </c>
      <c r="H49" s="38">
        <f>$F49*'Comm Breakdown'!E$18</f>
        <v>617.50810578564858</v>
      </c>
      <c r="I49" s="38">
        <f>$F49*'Comm Breakdown'!F$18</f>
        <v>185.10484249495607</v>
      </c>
      <c r="K49" s="38">
        <f>C49</f>
        <v>2174.3589743589746</v>
      </c>
      <c r="L49" s="38">
        <f t="shared" si="4"/>
        <v>423.73523334036599</v>
      </c>
      <c r="M49" s="38">
        <f t="shared" si="5"/>
        <v>217.43589743589746</v>
      </c>
      <c r="N49" s="38">
        <f t="shared" si="5"/>
        <v>1533.1878435827114</v>
      </c>
      <c r="O49" s="38">
        <f t="shared" si="5"/>
        <v>730.57489530210671</v>
      </c>
      <c r="P49" s="38">
        <f t="shared" si="5"/>
        <v>617.50810578564858</v>
      </c>
      <c r="Q49" s="38">
        <f t="shared" si="5"/>
        <v>185.10484249495607</v>
      </c>
      <c r="R49" s="38"/>
      <c r="S49" s="1">
        <f t="shared" si="9"/>
        <v>2117.3507173430203</v>
      </c>
      <c r="T49" s="1">
        <f t="shared" si="7"/>
        <v>396.28362841336133</v>
      </c>
      <c r="U49" s="1">
        <f t="shared" si="7"/>
        <v>211.73507173430201</v>
      </c>
      <c r="V49" s="1">
        <f t="shared" si="7"/>
        <v>1508.1539769560725</v>
      </c>
      <c r="W49" s="1">
        <f t="shared" si="7"/>
        <v>716.83265097031176</v>
      </c>
      <c r="X49" s="1">
        <f t="shared" si="7"/>
        <v>609.06596466128076</v>
      </c>
      <c r="Y49" s="1">
        <f t="shared" si="7"/>
        <v>182.2416419810252</v>
      </c>
      <c r="Z49" s="121"/>
    </row>
    <row r="50" spans="1:26" x14ac:dyDescent="0.25">
      <c r="A50" s="32">
        <f t="shared" si="1"/>
        <v>2015</v>
      </c>
      <c r="B50" s="32">
        <f t="shared" si="2"/>
        <v>1</v>
      </c>
      <c r="C50" s="158">
        <f>+'2015'!E2+('2014'!E14-'2014'!E2)</f>
        <v>2427.5641025641035</v>
      </c>
      <c r="D50" s="38">
        <f>C50*'Forecasted Targets'!$F$59</f>
        <v>364.13461538461553</v>
      </c>
      <c r="E50" s="38">
        <f>$C50*'Forecasted Targets'!G$59</f>
        <v>242.75641025641036</v>
      </c>
      <c r="F50" s="38">
        <f>$C50*'Forecasted Targets'!H$59</f>
        <v>1820.6730769230776</v>
      </c>
      <c r="G50" s="38">
        <f>$F50*'Comm Breakdown'!D$19</f>
        <v>854.38692629794298</v>
      </c>
      <c r="H50" s="38">
        <f>$F50*'Comm Breakdown'!E$19</f>
        <v>745.31003506075012</v>
      </c>
      <c r="I50" s="38">
        <f>$F50*'Comm Breakdown'!F$19</f>
        <v>220.97611556438454</v>
      </c>
      <c r="K50" s="38">
        <f>C38+C50</f>
        <v>2608.7606837606845</v>
      </c>
      <c r="L50" s="38">
        <f t="shared" ref="L50:Q50" si="10">D38+D50</f>
        <v>399.44588482964605</v>
      </c>
      <c r="M50" s="38">
        <f t="shared" si="10"/>
        <v>260.87606837606847</v>
      </c>
      <c r="N50" s="38">
        <f t="shared" si="10"/>
        <v>1948.4387305549701</v>
      </c>
      <c r="O50" s="38">
        <f t="shared" si="10"/>
        <v>915.26816757311849</v>
      </c>
      <c r="P50" s="38">
        <f t="shared" si="10"/>
        <v>796.76904387622085</v>
      </c>
      <c r="Q50" s="38">
        <f t="shared" si="10"/>
        <v>236.40151910563088</v>
      </c>
      <c r="R50" s="38"/>
      <c r="S50" s="1">
        <f t="shared" si="9"/>
        <v>2309.8985042814561</v>
      </c>
      <c r="T50" s="1">
        <f t="shared" si="7"/>
        <v>426.53652619073267</v>
      </c>
      <c r="U50" s="1">
        <f t="shared" si="7"/>
        <v>230.98985042814562</v>
      </c>
      <c r="V50" s="1">
        <f t="shared" si="7"/>
        <v>1650.8541330901701</v>
      </c>
      <c r="W50" s="1">
        <f t="shared" si="7"/>
        <v>783.99814609122916</v>
      </c>
      <c r="X50" s="1">
        <f t="shared" si="7"/>
        <v>667.29489079980533</v>
      </c>
      <c r="Y50" s="1">
        <f t="shared" si="7"/>
        <v>199.54329761560035</v>
      </c>
      <c r="Z50" s="121"/>
    </row>
    <row r="51" spans="1:26" x14ac:dyDescent="0.25">
      <c r="A51" s="32">
        <f t="shared" si="1"/>
        <v>2015</v>
      </c>
      <c r="B51" s="32">
        <f t="shared" si="2"/>
        <v>2</v>
      </c>
      <c r="C51" s="158">
        <f>+'2015'!E3+('2014'!E15-'2014'!E3)</f>
        <v>2499.5726495726503</v>
      </c>
      <c r="D51" s="38">
        <f>C51*'Forecasted Targets'!$F$59</f>
        <v>374.93589743589752</v>
      </c>
      <c r="E51" s="38">
        <f>$C51*'Forecasted Targets'!G$59</f>
        <v>249.95726495726504</v>
      </c>
      <c r="F51" s="38">
        <f>$C51*'Forecasted Targets'!H$59</f>
        <v>1874.6794871794878</v>
      </c>
      <c r="G51" s="38">
        <f>$F51*'Comm Breakdown'!D$19</f>
        <v>879.73050469442273</v>
      </c>
      <c r="H51" s="38">
        <f>$F51*'Comm Breakdown'!E$19</f>
        <v>767.41807852659576</v>
      </c>
      <c r="I51" s="38">
        <f>$F51*'Comm Breakdown'!F$19</f>
        <v>227.53090395846937</v>
      </c>
      <c r="K51" s="38">
        <f>C39+C51</f>
        <v>2861.9658119658129</v>
      </c>
      <c r="L51" s="38">
        <f t="shared" ref="L51:L61" si="11">D39+D51</f>
        <v>445.5584363259585</v>
      </c>
      <c r="M51" s="38">
        <f t="shared" ref="M51:M61" si="12">E39+E51</f>
        <v>286.19658119658129</v>
      </c>
      <c r="N51" s="38">
        <f t="shared" ref="N51:N61" si="13">F39+F51</f>
        <v>2130.2107944432728</v>
      </c>
      <c r="O51" s="38">
        <f t="shared" ref="O51:O61" si="14">G39+G51</f>
        <v>1001.4929872447739</v>
      </c>
      <c r="P51" s="38">
        <f t="shared" ref="P51:P61" si="15">H39+H51</f>
        <v>870.33609615753721</v>
      </c>
      <c r="Q51" s="38">
        <f t="shared" ref="Q51:Q61" si="16">I39+I51</f>
        <v>258.38171104096205</v>
      </c>
      <c r="R51" s="38"/>
      <c r="S51" s="1">
        <f t="shared" si="9"/>
        <v>2519.9562152731983</v>
      </c>
      <c r="T51" s="1">
        <f t="shared" si="7"/>
        <v>459.09897641565908</v>
      </c>
      <c r="U51" s="1">
        <f t="shared" si="7"/>
        <v>251.9956215273198</v>
      </c>
      <c r="V51" s="1">
        <f t="shared" si="7"/>
        <v>1807.0564480700079</v>
      </c>
      <c r="W51" s="1">
        <f t="shared" si="7"/>
        <v>857.4568865445566</v>
      </c>
      <c r="X51" s="1">
        <f t="shared" si="7"/>
        <v>731.09071450932026</v>
      </c>
      <c r="Y51" s="1">
        <f t="shared" si="7"/>
        <v>218.48753770257301</v>
      </c>
      <c r="Z51" s="121"/>
    </row>
    <row r="52" spans="1:26" x14ac:dyDescent="0.25">
      <c r="A52" s="32">
        <f t="shared" si="1"/>
        <v>2015</v>
      </c>
      <c r="B52" s="32">
        <f t="shared" si="2"/>
        <v>3</v>
      </c>
      <c r="C52" s="158">
        <f>+'2015'!E4+('2014'!E16-'2014'!E4)</f>
        <v>2571.5811965811972</v>
      </c>
      <c r="D52" s="38">
        <f>C52*'Forecasted Targets'!$F$59</f>
        <v>385.73717948717956</v>
      </c>
      <c r="E52" s="38">
        <f>$C52*'Forecasted Targets'!G$59</f>
        <v>257.15811965811974</v>
      </c>
      <c r="F52" s="38">
        <f>$C52*'Forecasted Targets'!H$59</f>
        <v>1928.6858974358979</v>
      </c>
      <c r="G52" s="38">
        <f>$F52*'Comm Breakdown'!D$19</f>
        <v>905.07408309090249</v>
      </c>
      <c r="H52" s="38">
        <f>$F52*'Comm Breakdown'!E$19</f>
        <v>789.5261219924414</v>
      </c>
      <c r="I52" s="38">
        <f>$F52*'Comm Breakdown'!F$19</f>
        <v>234.08569235255416</v>
      </c>
      <c r="K52" s="38">
        <f t="shared" ref="K52:K61" si="17">C40+C52</f>
        <v>3115.1709401709409</v>
      </c>
      <c r="L52" s="38">
        <f t="shared" si="11"/>
        <v>491.67098782227106</v>
      </c>
      <c r="M52" s="38">
        <f t="shared" si="12"/>
        <v>311.51709401709411</v>
      </c>
      <c r="N52" s="38">
        <f t="shared" si="13"/>
        <v>2311.9828583315757</v>
      </c>
      <c r="O52" s="38">
        <f t="shared" si="14"/>
        <v>1087.7178069164293</v>
      </c>
      <c r="P52" s="38">
        <f t="shared" si="15"/>
        <v>943.90314843885358</v>
      </c>
      <c r="Q52" s="38">
        <f t="shared" si="16"/>
        <v>280.36190297629321</v>
      </c>
      <c r="R52" s="38"/>
      <c r="S52" s="1">
        <f t="shared" si="9"/>
        <v>2749.1161690108033</v>
      </c>
      <c r="T52" s="1">
        <f t="shared" si="7"/>
        <v>494.14729385134967</v>
      </c>
      <c r="U52" s="1">
        <f t="shared" si="7"/>
        <v>274.91161690108027</v>
      </c>
      <c r="V52" s="1">
        <f t="shared" si="7"/>
        <v>1978.0384838719324</v>
      </c>
      <c r="W52" s="1">
        <f t="shared" si="7"/>
        <v>937.79853428011802</v>
      </c>
      <c r="X52" s="1">
        <f t="shared" si="7"/>
        <v>800.98565148777891</v>
      </c>
      <c r="Y52" s="1">
        <f t="shared" si="7"/>
        <v>239.23030591232038</v>
      </c>
      <c r="Z52" s="121"/>
    </row>
    <row r="53" spans="1:26" x14ac:dyDescent="0.25">
      <c r="A53" s="32">
        <f t="shared" si="1"/>
        <v>2015</v>
      </c>
      <c r="B53" s="32">
        <f t="shared" si="2"/>
        <v>4</v>
      </c>
      <c r="C53" s="158">
        <f>+'2015'!E5+('2014'!E17-'2014'!E5)</f>
        <v>2643.5897435897441</v>
      </c>
      <c r="D53" s="38">
        <f>C53*'Forecasted Targets'!$F$59</f>
        <v>396.5384615384616</v>
      </c>
      <c r="E53" s="38">
        <f>$C53*'Forecasted Targets'!G$59</f>
        <v>264.35897435897442</v>
      </c>
      <c r="F53" s="38">
        <f>$C53*'Forecasted Targets'!H$59</f>
        <v>1982.6923076923081</v>
      </c>
      <c r="G53" s="38">
        <f>$F53*'Comm Breakdown'!D$19</f>
        <v>930.41766148738225</v>
      </c>
      <c r="H53" s="38">
        <f>$F53*'Comm Breakdown'!E$19</f>
        <v>811.63416545828704</v>
      </c>
      <c r="I53" s="38">
        <f>$F53*'Comm Breakdown'!F$19</f>
        <v>240.64048074663896</v>
      </c>
      <c r="J53" s="30"/>
      <c r="K53" s="38">
        <f t="shared" si="17"/>
        <v>3368.3760683760688</v>
      </c>
      <c r="L53" s="38">
        <f t="shared" si="11"/>
        <v>537.78353931858362</v>
      </c>
      <c r="M53" s="38">
        <f t="shared" si="12"/>
        <v>336.83760683760693</v>
      </c>
      <c r="N53" s="38">
        <f t="shared" si="13"/>
        <v>2493.7549222198786</v>
      </c>
      <c r="O53" s="38">
        <f t="shared" si="14"/>
        <v>1173.9426265880845</v>
      </c>
      <c r="P53" s="38">
        <f t="shared" si="15"/>
        <v>1017.4702007201699</v>
      </c>
      <c r="Q53" s="38">
        <f t="shared" si="16"/>
        <v>302.34209491162432</v>
      </c>
      <c r="R53" s="38"/>
      <c r="S53" s="1">
        <f t="shared" si="9"/>
        <v>2999.1154865749454</v>
      </c>
      <c r="T53" s="1">
        <f t="shared" si="7"/>
        <v>531.87125339947397</v>
      </c>
      <c r="U53" s="1">
        <f t="shared" si="7"/>
        <v>299.91154865749445</v>
      </c>
      <c r="V53" s="1">
        <f t="shared" si="7"/>
        <v>2165.1986842232786</v>
      </c>
      <c r="W53" s="1">
        <f t="shared" si="7"/>
        <v>1025.6680011540586</v>
      </c>
      <c r="X53" s="1">
        <f t="shared" si="7"/>
        <v>877.56279919367319</v>
      </c>
      <c r="Y53" s="1">
        <f t="shared" si="7"/>
        <v>261.94235089422409</v>
      </c>
      <c r="Z53" s="121"/>
    </row>
    <row r="54" spans="1:26" x14ac:dyDescent="0.25">
      <c r="A54" s="32">
        <f t="shared" si="1"/>
        <v>2015</v>
      </c>
      <c r="B54" s="32">
        <f t="shared" si="2"/>
        <v>5</v>
      </c>
      <c r="C54" s="158">
        <f>+'2015'!E6+('2014'!E18-'2014'!E6)</f>
        <v>2715.598290598291</v>
      </c>
      <c r="D54" s="38">
        <f>C54*'Forecasted Targets'!$F$59</f>
        <v>407.33974358974365</v>
      </c>
      <c r="E54" s="38">
        <f>$C54*'Forecasted Targets'!G$59</f>
        <v>271.5598290598291</v>
      </c>
      <c r="F54" s="38">
        <f>$C54*'Forecasted Targets'!H$59</f>
        <v>2036.6987179487182</v>
      </c>
      <c r="G54" s="38">
        <f>$F54*'Comm Breakdown'!D$19</f>
        <v>955.76123988386189</v>
      </c>
      <c r="H54" s="38">
        <f>$F54*'Comm Breakdown'!E$19</f>
        <v>833.74220892413268</v>
      </c>
      <c r="I54" s="38">
        <f>$F54*'Comm Breakdown'!F$19</f>
        <v>247.19526914072375</v>
      </c>
      <c r="K54" s="38">
        <f t="shared" si="17"/>
        <v>3621.5811965811972</v>
      </c>
      <c r="L54" s="38">
        <f t="shared" si="11"/>
        <v>583.89609081489618</v>
      </c>
      <c r="M54" s="38">
        <f t="shared" si="12"/>
        <v>362.15811965811974</v>
      </c>
      <c r="N54" s="38">
        <f t="shared" si="13"/>
        <v>2675.5269861081815</v>
      </c>
      <c r="O54" s="38">
        <f t="shared" si="14"/>
        <v>1260.1674462597398</v>
      </c>
      <c r="P54" s="38">
        <f t="shared" si="15"/>
        <v>1091.0372530014863</v>
      </c>
      <c r="Q54" s="38">
        <f t="shared" si="16"/>
        <v>324.32228684695542</v>
      </c>
      <c r="R54" s="38"/>
      <c r="S54" s="1">
        <f t="shared" si="9"/>
        <v>3271.8492594840668</v>
      </c>
      <c r="T54" s="1">
        <f t="shared" si="7"/>
        <v>572.47511766770106</v>
      </c>
      <c r="U54" s="1">
        <f t="shared" si="7"/>
        <v>327.18492594840654</v>
      </c>
      <c r="V54" s="1">
        <f t="shared" si="7"/>
        <v>2370.067812323588</v>
      </c>
      <c r="W54" s="1">
        <f t="shared" si="7"/>
        <v>1121.7706257121679</v>
      </c>
      <c r="X54" s="1">
        <f t="shared" si="7"/>
        <v>961.46100132779372</v>
      </c>
      <c r="Y54" s="1">
        <f t="shared" si="7"/>
        <v>286.81063183165543</v>
      </c>
      <c r="Z54" s="121"/>
    </row>
    <row r="55" spans="1:26" x14ac:dyDescent="0.25">
      <c r="A55" s="32">
        <f t="shared" si="1"/>
        <v>2015</v>
      </c>
      <c r="B55" s="32">
        <f t="shared" si="2"/>
        <v>6</v>
      </c>
      <c r="C55" s="158">
        <f>+'2015'!E7+('2014'!E19-'2014'!E7)</f>
        <v>2787.6068376068379</v>
      </c>
      <c r="D55" s="38">
        <f>C55*'Forecasted Targets'!$F$59</f>
        <v>418.14102564102569</v>
      </c>
      <c r="E55" s="38">
        <f>$C55*'Forecasted Targets'!G$59</f>
        <v>278.76068376068378</v>
      </c>
      <c r="F55" s="38">
        <f>$C55*'Forecasted Targets'!H$59</f>
        <v>2090.7051282051284</v>
      </c>
      <c r="G55" s="38">
        <f>$F55*'Comm Breakdown'!D$19</f>
        <v>981.10481828034165</v>
      </c>
      <c r="H55" s="38">
        <f>$F55*'Comm Breakdown'!E$19</f>
        <v>855.85025238997832</v>
      </c>
      <c r="I55" s="38">
        <f>$F55*'Comm Breakdown'!F$19</f>
        <v>253.75005753480858</v>
      </c>
      <c r="K55" s="38">
        <f t="shared" si="17"/>
        <v>3874.7863247863252</v>
      </c>
      <c r="L55" s="38">
        <f t="shared" si="11"/>
        <v>630.00864231120863</v>
      </c>
      <c r="M55" s="38">
        <f t="shared" si="12"/>
        <v>387.47863247863251</v>
      </c>
      <c r="N55" s="38">
        <f t="shared" si="13"/>
        <v>2857.299049996484</v>
      </c>
      <c r="O55" s="38">
        <f t="shared" si="14"/>
        <v>1346.3922659313951</v>
      </c>
      <c r="P55" s="38">
        <f t="shared" si="15"/>
        <v>1164.6043052828027</v>
      </c>
      <c r="Q55" s="38">
        <f t="shared" si="16"/>
        <v>346.30247878228658</v>
      </c>
      <c r="R55" s="38"/>
      <c r="S55" s="1">
        <f t="shared" si="9"/>
        <v>3569.3849152210455</v>
      </c>
      <c r="T55" s="1">
        <f t="shared" si="7"/>
        <v>616.17874298331515</v>
      </c>
      <c r="U55" s="1">
        <f t="shared" si="7"/>
        <v>356.93849152210441</v>
      </c>
      <c r="V55" s="1">
        <f t="shared" si="7"/>
        <v>2594.3214707925904</v>
      </c>
      <c r="W55" s="1">
        <f t="shared" si="7"/>
        <v>1226.877835025349</v>
      </c>
      <c r="X55" s="1">
        <f t="shared" si="7"/>
        <v>1053.3801773771775</v>
      </c>
      <c r="Y55" s="1">
        <f t="shared" si="7"/>
        <v>314.03985743752924</v>
      </c>
      <c r="Z55" s="121"/>
    </row>
    <row r="56" spans="1:26" s="127" customFormat="1" x14ac:dyDescent="0.25">
      <c r="A56" s="125">
        <f t="shared" si="1"/>
        <v>2015</v>
      </c>
      <c r="B56" s="125">
        <f t="shared" si="2"/>
        <v>7</v>
      </c>
      <c r="C56" s="158">
        <f>+'2015'!E8+('2014'!E20-'2014'!E8)</f>
        <v>2859.6153846153852</v>
      </c>
      <c r="D56" s="126">
        <f>C56*'Forecasted Targets'!$F$59</f>
        <v>428.94230769230779</v>
      </c>
      <c r="E56" s="126">
        <f>$C56*'Forecasted Targets'!G$59</f>
        <v>285.96153846153851</v>
      </c>
      <c r="F56" s="126">
        <f>$C56*'Forecasted Targets'!H$59</f>
        <v>2144.711538461539</v>
      </c>
      <c r="G56" s="126">
        <f>$F56*'Comm Breakdown'!D$19</f>
        <v>1006.4483966768216</v>
      </c>
      <c r="H56" s="126">
        <f>$F56*'Comm Breakdown'!E$19</f>
        <v>877.95829585582408</v>
      </c>
      <c r="I56" s="126">
        <f>$F56*'Comm Breakdown'!F$19</f>
        <v>260.30484592889343</v>
      </c>
      <c r="K56" s="126">
        <f>C44+C56</f>
        <v>4127.991452991454</v>
      </c>
      <c r="L56" s="126">
        <f t="shared" si="11"/>
        <v>676.12119380752131</v>
      </c>
      <c r="M56" s="126">
        <f t="shared" si="12"/>
        <v>412.79914529914538</v>
      </c>
      <c r="N56" s="126">
        <f t="shared" si="13"/>
        <v>3039.0711138847873</v>
      </c>
      <c r="O56" s="126">
        <f t="shared" si="14"/>
        <v>1432.6170856030506</v>
      </c>
      <c r="P56" s="126">
        <f t="shared" si="15"/>
        <v>1238.171357564119</v>
      </c>
      <c r="Q56" s="126">
        <f t="shared" si="16"/>
        <v>368.2826707176178</v>
      </c>
      <c r="R56" s="126"/>
      <c r="S56" s="1">
        <f t="shared" si="9"/>
        <v>3893.9778891331266</v>
      </c>
      <c r="T56" s="1">
        <f t="shared" si="7"/>
        <v>663.21876984160076</v>
      </c>
      <c r="U56" s="1">
        <f t="shared" si="7"/>
        <v>389.39778891331252</v>
      </c>
      <c r="V56" s="1">
        <f t="shared" si="7"/>
        <v>2839.793806244269</v>
      </c>
      <c r="W56" s="1">
        <f t="shared" si="7"/>
        <v>1341.833337025452</v>
      </c>
      <c r="X56" s="1">
        <f t="shared" si="7"/>
        <v>1154.0871616828806</v>
      </c>
      <c r="Y56" s="1">
        <f t="shared" si="7"/>
        <v>343.85417105900615</v>
      </c>
      <c r="Z56" s="129"/>
    </row>
    <row r="57" spans="1:26" x14ac:dyDescent="0.25">
      <c r="A57" s="32">
        <f t="shared" si="1"/>
        <v>2015</v>
      </c>
      <c r="B57" s="32">
        <f t="shared" si="2"/>
        <v>8</v>
      </c>
      <c r="C57" s="158">
        <f>+'2015'!E9+('2014'!E21-'2014'!E9)</f>
        <v>2931.6239316239321</v>
      </c>
      <c r="D57" s="38">
        <f>C57*'Forecasted Targets'!$F$59</f>
        <v>439.74358974358978</v>
      </c>
      <c r="E57" s="38">
        <f>$C57*'Forecasted Targets'!G$59</f>
        <v>293.16239316239324</v>
      </c>
      <c r="F57" s="38">
        <f>$C57*'Forecasted Targets'!H$59</f>
        <v>2198.7179487179492</v>
      </c>
      <c r="G57" s="38">
        <f>$F57*'Comm Breakdown'!D$19</f>
        <v>1031.7919750733013</v>
      </c>
      <c r="H57" s="38">
        <f>$F57*'Comm Breakdown'!E$19</f>
        <v>900.06633932166972</v>
      </c>
      <c r="I57" s="38">
        <f>$F57*'Comm Breakdown'!F$19</f>
        <v>266.8596343229782</v>
      </c>
      <c r="K57" s="38">
        <f t="shared" si="17"/>
        <v>4381.196581196582</v>
      </c>
      <c r="L57" s="38">
        <f t="shared" si="11"/>
        <v>722.23374530383376</v>
      </c>
      <c r="M57" s="38">
        <f t="shared" si="12"/>
        <v>438.1196581196582</v>
      </c>
      <c r="N57" s="38">
        <f t="shared" si="13"/>
        <v>3220.8431777730902</v>
      </c>
      <c r="O57" s="38">
        <f t="shared" si="14"/>
        <v>1518.8419052747058</v>
      </c>
      <c r="P57" s="38">
        <f t="shared" si="15"/>
        <v>1311.7384098454354</v>
      </c>
      <c r="Q57" s="38">
        <f t="shared" si="16"/>
        <v>390.26286265294891</v>
      </c>
      <c r="R57" s="38"/>
      <c r="S57" s="1">
        <f t="shared" si="9"/>
        <v>4248.0887215041812</v>
      </c>
      <c r="T57" s="1">
        <f t="shared" si="7"/>
        <v>713.8499042348767</v>
      </c>
      <c r="U57" s="1">
        <f t="shared" si="7"/>
        <v>424.80887215041793</v>
      </c>
      <c r="V57" s="1">
        <f t="shared" si="7"/>
        <v>3108.4925105752418</v>
      </c>
      <c r="W57" s="1">
        <f t="shared" si="7"/>
        <v>1467.5598930480794</v>
      </c>
      <c r="X57" s="1">
        <f t="shared" si="7"/>
        <v>1264.4221007439139</v>
      </c>
      <c r="Y57" s="1">
        <f t="shared" si="7"/>
        <v>376.49899576265238</v>
      </c>
      <c r="Z57" s="121"/>
    </row>
    <row r="58" spans="1:26" s="118" customFormat="1" x14ac:dyDescent="0.25">
      <c r="A58" s="116">
        <f t="shared" si="1"/>
        <v>2015</v>
      </c>
      <c r="B58" s="116">
        <f t="shared" si="2"/>
        <v>9</v>
      </c>
      <c r="C58" s="158">
        <f>+'2015'!E10+('2014'!E22-'2014'!E10)</f>
        <v>3003.632478632479</v>
      </c>
      <c r="D58" s="117">
        <f>C58*'Forecasted Targets'!$F$59</f>
        <v>450.54487179487182</v>
      </c>
      <c r="E58" s="117">
        <f>$C58*'Forecasted Targets'!G$59</f>
        <v>300.36324786324792</v>
      </c>
      <c r="F58" s="117">
        <f>$C58*'Forecasted Targets'!H$59</f>
        <v>2252.7243589743593</v>
      </c>
      <c r="G58" s="117">
        <f>$F58*'Comm Breakdown'!D$19</f>
        <v>1057.1355534697811</v>
      </c>
      <c r="H58" s="117">
        <f>$F58*'Comm Breakdown'!E$19</f>
        <v>922.17438278751536</v>
      </c>
      <c r="I58" s="117">
        <f>$F58*'Comm Breakdown'!F$19</f>
        <v>273.41442271706302</v>
      </c>
      <c r="K58" s="117">
        <f>C46+C58</f>
        <v>4634.4017094017099</v>
      </c>
      <c r="L58" s="117">
        <f t="shared" si="11"/>
        <v>768.34629680014632</v>
      </c>
      <c r="M58" s="117">
        <f t="shared" si="12"/>
        <v>463.44017094017101</v>
      </c>
      <c r="N58" s="117">
        <f t="shared" si="13"/>
        <v>3402.6152416613932</v>
      </c>
      <c r="O58" s="117">
        <f t="shared" si="14"/>
        <v>1605.0667249463613</v>
      </c>
      <c r="P58" s="117">
        <f t="shared" si="15"/>
        <v>1385.3054621267518</v>
      </c>
      <c r="Q58" s="117">
        <f t="shared" si="16"/>
        <v>412.24305458828007</v>
      </c>
      <c r="R58" s="117"/>
      <c r="S58" s="120">
        <f>K58</f>
        <v>4634.4017094017099</v>
      </c>
      <c r="T58" s="120">
        <f t="shared" ref="T58:Y58" si="18">L58</f>
        <v>768.34629680014632</v>
      </c>
      <c r="U58" s="120">
        <f t="shared" si="18"/>
        <v>463.44017094017101</v>
      </c>
      <c r="V58" s="120">
        <f t="shared" si="18"/>
        <v>3402.6152416613932</v>
      </c>
      <c r="W58" s="120">
        <f t="shared" si="18"/>
        <v>1605.0667249463613</v>
      </c>
      <c r="X58" s="120">
        <f t="shared" si="18"/>
        <v>1385.3054621267518</v>
      </c>
      <c r="Y58" s="120">
        <f t="shared" si="18"/>
        <v>412.24305458828007</v>
      </c>
      <c r="Z58" s="122"/>
    </row>
    <row r="59" spans="1:26" x14ac:dyDescent="0.25">
      <c r="A59" s="32">
        <f t="shared" si="1"/>
        <v>2015</v>
      </c>
      <c r="B59" s="32">
        <f t="shared" si="2"/>
        <v>10</v>
      </c>
      <c r="C59" s="158">
        <f>+'2015'!E11+('2014'!E23-'2014'!E11)</f>
        <v>3075.6410256410263</v>
      </c>
      <c r="D59" s="38">
        <f>C59*'Forecasted Targets'!$F$59</f>
        <v>461.34615384615392</v>
      </c>
      <c r="E59" s="38">
        <f>$C59*'Forecasted Targets'!G$59</f>
        <v>307.56410256410265</v>
      </c>
      <c r="F59" s="38">
        <f>$C59*'Forecasted Targets'!H$59</f>
        <v>2306.7307692307695</v>
      </c>
      <c r="G59" s="38">
        <f>$F59*'Comm Breakdown'!D$19</f>
        <v>1082.4791318662608</v>
      </c>
      <c r="H59" s="38">
        <f>$F59*'Comm Breakdown'!E$19</f>
        <v>944.282426253361</v>
      </c>
      <c r="I59" s="38">
        <f>$F59*'Comm Breakdown'!F$19</f>
        <v>279.96921111114784</v>
      </c>
      <c r="K59" s="38">
        <f t="shared" si="17"/>
        <v>4887.6068376068388</v>
      </c>
      <c r="L59" s="38">
        <f t="shared" si="11"/>
        <v>814.45884829645888</v>
      </c>
      <c r="M59" s="38">
        <f t="shared" si="12"/>
        <v>488.76068376068389</v>
      </c>
      <c r="N59" s="38">
        <f t="shared" si="13"/>
        <v>3584.3873055496956</v>
      </c>
      <c r="O59" s="38">
        <f t="shared" si="14"/>
        <v>1691.2915446180164</v>
      </c>
      <c r="P59" s="38">
        <f t="shared" si="15"/>
        <v>1458.8725144080681</v>
      </c>
      <c r="Q59" s="38">
        <f t="shared" si="16"/>
        <v>434.22324652361124</v>
      </c>
      <c r="R59" s="38"/>
      <c r="S59" s="1">
        <f>S58*(S$70/S$58)^(1/12)</f>
        <v>4949.5036669784631</v>
      </c>
      <c r="T59" s="1">
        <f t="shared" ref="T59:Y69" si="19">T58*(T$70/T$58)^(1/12)</f>
        <v>816.94449408714797</v>
      </c>
      <c r="U59" s="1">
        <f t="shared" si="19"/>
        <v>494.95036669784633</v>
      </c>
      <c r="V59" s="1">
        <f t="shared" si="19"/>
        <v>3637.5021591910086</v>
      </c>
      <c r="W59" s="1">
        <f t="shared" si="19"/>
        <v>1714.9009177758842</v>
      </c>
      <c r="X59" s="1">
        <f t="shared" si="19"/>
        <v>1481.9170926415964</v>
      </c>
      <c r="Y59" s="1">
        <f t="shared" si="19"/>
        <v>440.67756801273396</v>
      </c>
      <c r="Z59" s="121"/>
    </row>
    <row r="60" spans="1:26" x14ac:dyDescent="0.25">
      <c r="A60" s="32">
        <f t="shared" si="1"/>
        <v>2015</v>
      </c>
      <c r="B60" s="32">
        <f t="shared" si="2"/>
        <v>11</v>
      </c>
      <c r="C60" s="158">
        <f>+'2015'!E12+('2014'!E24-'2014'!E12)</f>
        <v>3147.6495726495732</v>
      </c>
      <c r="D60" s="38">
        <f>C60*'Forecasted Targets'!$F$59</f>
        <v>472.14743589743597</v>
      </c>
      <c r="E60" s="38">
        <f>$C60*'Forecasted Targets'!G$59</f>
        <v>314.76495726495733</v>
      </c>
      <c r="F60" s="38">
        <f>$C60*'Forecasted Targets'!H$59</f>
        <v>2360.7371794871797</v>
      </c>
      <c r="G60" s="38">
        <f>$F60*'Comm Breakdown'!D$19</f>
        <v>1107.8227102627404</v>
      </c>
      <c r="H60" s="38">
        <f>$F60*'Comm Breakdown'!E$19</f>
        <v>966.39046971920664</v>
      </c>
      <c r="I60" s="38">
        <f>$F60*'Comm Breakdown'!F$19</f>
        <v>286.52399950523261</v>
      </c>
      <c r="J60" s="30"/>
      <c r="K60" s="38">
        <f t="shared" si="17"/>
        <v>5140.8119658119667</v>
      </c>
      <c r="L60" s="38">
        <f t="shared" si="11"/>
        <v>860.57139979277144</v>
      </c>
      <c r="M60" s="38">
        <f t="shared" si="12"/>
        <v>514.08119658119665</v>
      </c>
      <c r="N60" s="38">
        <f t="shared" si="13"/>
        <v>3766.1593694379981</v>
      </c>
      <c r="O60" s="38">
        <f t="shared" si="14"/>
        <v>1777.5163642896714</v>
      </c>
      <c r="P60" s="38">
        <f t="shared" si="15"/>
        <v>1532.4395666893845</v>
      </c>
      <c r="Q60" s="38">
        <f t="shared" si="16"/>
        <v>456.20343845894229</v>
      </c>
      <c r="R60" s="38"/>
      <c r="S60" s="1">
        <f t="shared" ref="S60:S69" si="20">S59*(S$70/S$58)^(1/12)</f>
        <v>5286.0300175825359</v>
      </c>
      <c r="T60" s="1">
        <f t="shared" si="19"/>
        <v>868.61654594907532</v>
      </c>
      <c r="U60" s="1">
        <f t="shared" si="19"/>
        <v>528.60300175825364</v>
      </c>
      <c r="V60" s="1">
        <f t="shared" si="19"/>
        <v>3888.6036235054157</v>
      </c>
      <c r="W60" s="1">
        <f t="shared" si="19"/>
        <v>1832.2510286211618</v>
      </c>
      <c r="X60" s="1">
        <f t="shared" si="19"/>
        <v>1585.2664480885344</v>
      </c>
      <c r="Y60" s="1">
        <f t="shared" si="19"/>
        <v>471.07335536208859</v>
      </c>
      <c r="Z60" s="121"/>
    </row>
    <row r="61" spans="1:26" x14ac:dyDescent="0.25">
      <c r="A61" s="32">
        <f t="shared" si="1"/>
        <v>2015</v>
      </c>
      <c r="B61" s="32">
        <f t="shared" si="2"/>
        <v>12</v>
      </c>
      <c r="C61" s="158">
        <f>+'2015'!E13+('2014'!E25-'2014'!E13)</f>
        <v>3219.6581196581201</v>
      </c>
      <c r="D61" s="38">
        <f>C61*'Forecasted Targets'!$F$59</f>
        <v>482.94871794871801</v>
      </c>
      <c r="E61" s="38">
        <f>$C61*'Forecasted Targets'!G$59</f>
        <v>321.96581196581201</v>
      </c>
      <c r="F61" s="38">
        <f>$C61*'Forecasted Targets'!H$59</f>
        <v>2414.7435897435898</v>
      </c>
      <c r="G61" s="38">
        <f>$F61*'Comm Breakdown'!D$19</f>
        <v>1133.1662886592203</v>
      </c>
      <c r="H61" s="38">
        <f>$F61*'Comm Breakdown'!E$19</f>
        <v>988.49851318505227</v>
      </c>
      <c r="I61" s="38">
        <f>$F61*'Comm Breakdown'!F$19</f>
        <v>293.07878789931743</v>
      </c>
      <c r="K61" s="38">
        <f t="shared" si="17"/>
        <v>5394.0170940170947</v>
      </c>
      <c r="L61" s="38">
        <f t="shared" si="11"/>
        <v>906.68395128908401</v>
      </c>
      <c r="M61" s="38">
        <f t="shared" si="12"/>
        <v>539.40170940170947</v>
      </c>
      <c r="N61" s="38">
        <f t="shared" si="13"/>
        <v>3947.931433326301</v>
      </c>
      <c r="O61" s="38">
        <f t="shared" si="14"/>
        <v>1863.7411839613269</v>
      </c>
      <c r="P61" s="38">
        <f t="shared" si="15"/>
        <v>1606.0066189707009</v>
      </c>
      <c r="Q61" s="38">
        <f t="shared" si="16"/>
        <v>478.18363039427351</v>
      </c>
      <c r="R61" s="38"/>
      <c r="S61" s="1">
        <f t="shared" si="20"/>
        <v>5645.4374472342843</v>
      </c>
      <c r="T61" s="1">
        <f t="shared" si="19"/>
        <v>923.55687486402962</v>
      </c>
      <c r="U61" s="1">
        <f t="shared" si="19"/>
        <v>564.54374472342852</v>
      </c>
      <c r="V61" s="1">
        <f t="shared" si="19"/>
        <v>4157.0389456765188</v>
      </c>
      <c r="W61" s="1">
        <f t="shared" si="19"/>
        <v>1957.6313693022594</v>
      </c>
      <c r="X61" s="1">
        <f t="shared" si="19"/>
        <v>1695.8234194839854</v>
      </c>
      <c r="Y61" s="1">
        <f t="shared" si="19"/>
        <v>503.56569573717042</v>
      </c>
      <c r="Z61" s="121"/>
    </row>
    <row r="62" spans="1:26" x14ac:dyDescent="0.25">
      <c r="A62" s="32">
        <f t="shared" si="1"/>
        <v>2016</v>
      </c>
      <c r="B62" s="32">
        <f t="shared" si="2"/>
        <v>1</v>
      </c>
      <c r="C62" s="158">
        <f>('2015'!E14-'2015'!E2)+'2016'!E2</f>
        <v>3544.8717948717945</v>
      </c>
      <c r="D62" s="38">
        <f>C62*'Forecasted Targets'!$F$60</f>
        <v>531.73076923076917</v>
      </c>
      <c r="E62" s="38">
        <f>$C62*'Forecasted Targets'!G$60</f>
        <v>354.48717948717945</v>
      </c>
      <c r="F62" s="38">
        <f>$C62*'Forecasted Targets'!H$60</f>
        <v>2658.6538461538457</v>
      </c>
      <c r="G62" s="38">
        <f>$F62*'Comm Breakdown'!D$20</f>
        <v>1238.8088517174635</v>
      </c>
      <c r="H62" s="38">
        <f>$F62*'Comm Breakdown'!E$20</f>
        <v>1098.1048115464087</v>
      </c>
      <c r="I62" s="38">
        <f>$F62*'Comm Breakdown'!F$20</f>
        <v>321.74018288997394</v>
      </c>
      <c r="J62" s="13"/>
      <c r="K62" s="114">
        <f>C38+C50+C62</f>
        <v>6153.6324786324785</v>
      </c>
      <c r="L62" s="114">
        <f t="shared" ref="L62:Q62" si="21">D38+D50+D62</f>
        <v>931.17665406041522</v>
      </c>
      <c r="M62" s="114">
        <f t="shared" si="21"/>
        <v>615.36324786324792</v>
      </c>
      <c r="N62" s="114">
        <f t="shared" si="21"/>
        <v>4607.0925767088156</v>
      </c>
      <c r="O62" s="114">
        <f t="shared" si="21"/>
        <v>2154.077019290582</v>
      </c>
      <c r="P62" s="114">
        <f t="shared" si="21"/>
        <v>1894.8738554226295</v>
      </c>
      <c r="Q62" s="114">
        <f t="shared" si="21"/>
        <v>558.14170199560476</v>
      </c>
      <c r="R62" s="114"/>
      <c r="S62" s="1">
        <f t="shared" si="20"/>
        <v>6029.2816848608672</v>
      </c>
      <c r="T62" s="1">
        <f t="shared" si="19"/>
        <v>981.97220060624943</v>
      </c>
      <c r="U62" s="1">
        <f t="shared" si="19"/>
        <v>602.92816848608686</v>
      </c>
      <c r="V62" s="1">
        <f t="shared" si="19"/>
        <v>4444.0047042627757</v>
      </c>
      <c r="W62" s="1">
        <f t="shared" si="19"/>
        <v>2091.5914458294533</v>
      </c>
      <c r="X62" s="1">
        <f t="shared" si="19"/>
        <v>1814.0906681888896</v>
      </c>
      <c r="Y62" s="1">
        <f t="shared" si="19"/>
        <v>538.29919913077765</v>
      </c>
      <c r="Z62" s="121"/>
    </row>
    <row r="63" spans="1:26" x14ac:dyDescent="0.25">
      <c r="A63" s="32">
        <f t="shared" si="1"/>
        <v>2016</v>
      </c>
      <c r="B63" s="32">
        <f t="shared" si="2"/>
        <v>2</v>
      </c>
      <c r="C63" s="158">
        <f>('2015'!E15-'2015'!E3)+'2016'!E3</f>
        <v>3798.0769230769229</v>
      </c>
      <c r="D63" s="38">
        <f>C63*'Forecasted Targets'!$F$60</f>
        <v>569.71153846153845</v>
      </c>
      <c r="E63" s="38">
        <f>$C63*'Forecasted Targets'!G$60</f>
        <v>379.80769230769232</v>
      </c>
      <c r="F63" s="38">
        <f>$C63*'Forecasted Targets'!H$60</f>
        <v>2848.5576923076924</v>
      </c>
      <c r="G63" s="38">
        <f>$F63*'Comm Breakdown'!D$20</f>
        <v>1327.2951982687111</v>
      </c>
      <c r="H63" s="38">
        <f>$F63*'Comm Breakdown'!E$20</f>
        <v>1176.5408695140095</v>
      </c>
      <c r="I63" s="38">
        <f>$F63*'Comm Breakdown'!F$20</f>
        <v>344.72162452497213</v>
      </c>
      <c r="K63" s="114">
        <f t="shared" ref="K63:K73" si="22">C39+C51+C63</f>
        <v>6660.0427350427362</v>
      </c>
      <c r="L63" s="114">
        <f t="shared" ref="L63:L73" si="23">D39+D51+D63</f>
        <v>1015.2699747874969</v>
      </c>
      <c r="M63" s="114">
        <f t="shared" ref="M63:M73" si="24">E39+E51+E63</f>
        <v>666.00427350427367</v>
      </c>
      <c r="N63" s="114">
        <f t="shared" ref="N63:N73" si="25">F39+F51+F63</f>
        <v>4978.7684867509652</v>
      </c>
      <c r="O63" s="114">
        <f t="shared" ref="O63:O73" si="26">G39+G51+G63</f>
        <v>2328.7881855134851</v>
      </c>
      <c r="P63" s="114">
        <f t="shared" ref="P63:P73" si="27">H39+H51+H63</f>
        <v>2046.8769656715467</v>
      </c>
      <c r="Q63" s="114">
        <f t="shared" ref="Q63:Q73" si="28">I39+I51+I63</f>
        <v>603.10333556593423</v>
      </c>
      <c r="R63" s="114"/>
      <c r="S63" s="1">
        <f t="shared" si="20"/>
        <v>6439.2242364155081</v>
      </c>
      <c r="T63" s="1">
        <f t="shared" si="19"/>
        <v>1044.082318054797</v>
      </c>
      <c r="U63" s="1">
        <f t="shared" si="19"/>
        <v>643.92242364155095</v>
      </c>
      <c r="V63" s="1">
        <f t="shared" si="19"/>
        <v>4750.7800791834261</v>
      </c>
      <c r="W63" s="1">
        <f t="shared" si="19"/>
        <v>2234.7183667301965</v>
      </c>
      <c r="X63" s="1">
        <f t="shared" si="19"/>
        <v>1940.6059113226499</v>
      </c>
      <c r="Y63" s="1">
        <f t="shared" si="19"/>
        <v>575.42845002705701</v>
      </c>
      <c r="Z63" s="121"/>
    </row>
    <row r="64" spans="1:26" x14ac:dyDescent="0.25">
      <c r="A64" s="32">
        <f t="shared" si="1"/>
        <v>2016</v>
      </c>
      <c r="B64" s="32">
        <f t="shared" si="2"/>
        <v>3</v>
      </c>
      <c r="C64" s="158">
        <f>('2015'!E16-'2015'!E4)+'2016'!E4</f>
        <v>4051.2820512820508</v>
      </c>
      <c r="D64" s="38">
        <f>C64*'Forecasted Targets'!$F$60</f>
        <v>607.69230769230762</v>
      </c>
      <c r="E64" s="38">
        <f>$C64*'Forecasted Targets'!G$60</f>
        <v>405.12820512820508</v>
      </c>
      <c r="F64" s="38">
        <f>$C64*'Forecasted Targets'!H$60</f>
        <v>3038.4615384615381</v>
      </c>
      <c r="G64" s="38">
        <f>$F64*'Comm Breakdown'!D$20</f>
        <v>1415.7815448199583</v>
      </c>
      <c r="H64" s="38">
        <f>$F64*'Comm Breakdown'!E$20</f>
        <v>1254.9769274816099</v>
      </c>
      <c r="I64" s="38">
        <f>$F64*'Comm Breakdown'!F$20</f>
        <v>367.70306615997021</v>
      </c>
      <c r="K64" s="114">
        <f t="shared" si="22"/>
        <v>7166.4529914529921</v>
      </c>
      <c r="L64" s="114">
        <f t="shared" si="23"/>
        <v>1099.3632955145786</v>
      </c>
      <c r="M64" s="114">
        <f t="shared" si="24"/>
        <v>716.64529914529919</v>
      </c>
      <c r="N64" s="114">
        <f t="shared" si="25"/>
        <v>5350.4443967931138</v>
      </c>
      <c r="O64" s="114">
        <f t="shared" si="26"/>
        <v>2503.4993517363873</v>
      </c>
      <c r="P64" s="114">
        <f t="shared" si="27"/>
        <v>2198.8800759204632</v>
      </c>
      <c r="Q64" s="114">
        <f t="shared" si="28"/>
        <v>648.06496913626347</v>
      </c>
      <c r="R64" s="114"/>
      <c r="S64" s="1">
        <f t="shared" si="20"/>
        <v>6877.0395768625804</v>
      </c>
      <c r="T64" s="1">
        <f t="shared" si="19"/>
        <v>1110.1209241989418</v>
      </c>
      <c r="U64" s="1">
        <f t="shared" si="19"/>
        <v>687.70395768625815</v>
      </c>
      <c r="V64" s="1">
        <f t="shared" si="19"/>
        <v>5078.7325537969355</v>
      </c>
      <c r="W64" s="1">
        <f t="shared" si="19"/>
        <v>2387.6394161771118</v>
      </c>
      <c r="X64" s="1">
        <f t="shared" si="19"/>
        <v>2075.9443665625477</v>
      </c>
      <c r="Y64" s="1">
        <f t="shared" si="19"/>
        <v>615.11869539322402</v>
      </c>
      <c r="Z64" s="121"/>
    </row>
    <row r="65" spans="1:26" x14ac:dyDescent="0.25">
      <c r="A65" s="32">
        <f t="shared" si="1"/>
        <v>2016</v>
      </c>
      <c r="B65" s="32">
        <f t="shared" si="2"/>
        <v>4</v>
      </c>
      <c r="C65" s="158">
        <f>('2015'!E17-'2015'!E5)+'2016'!E5</f>
        <v>4304.4871794871797</v>
      </c>
      <c r="D65" s="38">
        <f>C65*'Forecasted Targets'!$F$60</f>
        <v>645.67307692307691</v>
      </c>
      <c r="E65" s="38">
        <f>$C65*'Forecasted Targets'!G$60</f>
        <v>430.44871794871801</v>
      </c>
      <c r="F65" s="38">
        <f>$C65*'Forecasted Targets'!H$60</f>
        <v>3228.3653846153848</v>
      </c>
      <c r="G65" s="38">
        <f>$F65*'Comm Breakdown'!D$20</f>
        <v>1504.2678913712059</v>
      </c>
      <c r="H65" s="38">
        <f>$F65*'Comm Breakdown'!E$20</f>
        <v>1333.4129854492107</v>
      </c>
      <c r="I65" s="38">
        <f>$F65*'Comm Breakdown'!F$20</f>
        <v>390.6845077949684</v>
      </c>
      <c r="K65" s="114">
        <f t="shared" si="22"/>
        <v>7672.863247863248</v>
      </c>
      <c r="L65" s="114">
        <f t="shared" si="23"/>
        <v>1183.4566162416604</v>
      </c>
      <c r="M65" s="114">
        <f t="shared" si="24"/>
        <v>767.28632478632494</v>
      </c>
      <c r="N65" s="114">
        <f t="shared" si="25"/>
        <v>5722.1203068352634</v>
      </c>
      <c r="O65" s="114">
        <f t="shared" si="26"/>
        <v>2678.2105179592904</v>
      </c>
      <c r="P65" s="114">
        <f t="shared" si="27"/>
        <v>2350.8831861693807</v>
      </c>
      <c r="Q65" s="114">
        <f t="shared" si="28"/>
        <v>693.02660270659271</v>
      </c>
      <c r="R65" s="114"/>
      <c r="S65" s="1">
        <f t="shared" si="20"/>
        <v>7344.6228311597042</v>
      </c>
      <c r="T65" s="1">
        <f t="shared" si="19"/>
        <v>1180.3364974519507</v>
      </c>
      <c r="U65" s="1">
        <f t="shared" si="19"/>
        <v>734.46228311597054</v>
      </c>
      <c r="V65" s="1">
        <f t="shared" si="19"/>
        <v>5429.3240106012627</v>
      </c>
      <c r="W65" s="1">
        <f t="shared" si="19"/>
        <v>2551.0248031942965</v>
      </c>
      <c r="X65" s="1">
        <f t="shared" si="19"/>
        <v>2220.7213674442223</v>
      </c>
      <c r="Y65" s="1">
        <f t="shared" si="19"/>
        <v>657.54658012559287</v>
      </c>
      <c r="Z65" s="121"/>
    </row>
    <row r="66" spans="1:26" x14ac:dyDescent="0.25">
      <c r="A66" s="32">
        <f t="shared" si="1"/>
        <v>2016</v>
      </c>
      <c r="B66" s="32">
        <f t="shared" si="2"/>
        <v>5</v>
      </c>
      <c r="C66" s="158">
        <f>('2015'!E18-'2015'!E6)+'2016'!E6</f>
        <v>4557.6923076923076</v>
      </c>
      <c r="D66" s="38">
        <f>C66*'Forecasted Targets'!$F$60</f>
        <v>683.65384615384608</v>
      </c>
      <c r="E66" s="38">
        <f>$C66*'Forecasted Targets'!G$60</f>
        <v>455.76923076923077</v>
      </c>
      <c r="F66" s="38">
        <f>$C66*'Forecasted Targets'!H$60</f>
        <v>3418.2692307692305</v>
      </c>
      <c r="G66" s="38">
        <f>$F66*'Comm Breakdown'!D$20</f>
        <v>1592.7542379224531</v>
      </c>
      <c r="H66" s="38">
        <f>$F66*'Comm Breakdown'!E$20</f>
        <v>1411.8490434168114</v>
      </c>
      <c r="I66" s="38">
        <f>$F66*'Comm Breakdown'!F$20</f>
        <v>413.66594942996647</v>
      </c>
      <c r="K66" s="114">
        <f t="shared" si="22"/>
        <v>8179.2735042735048</v>
      </c>
      <c r="L66" s="114">
        <f t="shared" si="23"/>
        <v>1267.5499369687423</v>
      </c>
      <c r="M66" s="114">
        <f t="shared" si="24"/>
        <v>817.92735042735058</v>
      </c>
      <c r="N66" s="114">
        <f t="shared" si="25"/>
        <v>6093.796216877412</v>
      </c>
      <c r="O66" s="114">
        <f t="shared" si="26"/>
        <v>2852.9216841821926</v>
      </c>
      <c r="P66" s="114">
        <f t="shared" si="27"/>
        <v>2502.8862964182977</v>
      </c>
      <c r="Q66" s="114">
        <f t="shared" si="28"/>
        <v>737.98823627692195</v>
      </c>
      <c r="R66" s="114"/>
      <c r="S66" s="1">
        <f t="shared" si="20"/>
        <v>7843.9979774847106</v>
      </c>
      <c r="T66" s="1">
        <f t="shared" si="19"/>
        <v>1254.9932325818122</v>
      </c>
      <c r="U66" s="1">
        <f t="shared" si="19"/>
        <v>784.3997977484712</v>
      </c>
      <c r="V66" s="1">
        <f t="shared" si="19"/>
        <v>5804.1172477281798</v>
      </c>
      <c r="W66" s="1">
        <f t="shared" si="19"/>
        <v>2725.5905989909174</v>
      </c>
      <c r="X66" s="1">
        <f t="shared" si="19"/>
        <v>2375.5951610540183</v>
      </c>
      <c r="Y66" s="1">
        <f t="shared" si="19"/>
        <v>702.90093322308337</v>
      </c>
      <c r="Z66" s="121"/>
    </row>
    <row r="67" spans="1:26" x14ac:dyDescent="0.25">
      <c r="A67" s="32">
        <f t="shared" si="1"/>
        <v>2016</v>
      </c>
      <c r="B67" s="32">
        <f t="shared" si="2"/>
        <v>6</v>
      </c>
      <c r="C67" s="158">
        <f>('2015'!E19-'2015'!E7)+'2016'!E7</f>
        <v>4810.8974358974356</v>
      </c>
      <c r="D67" s="38">
        <f>C67*'Forecasted Targets'!$F$60</f>
        <v>721.63461538461536</v>
      </c>
      <c r="E67" s="38">
        <f>$C67*'Forecasted Targets'!G$60</f>
        <v>481.08974358974359</v>
      </c>
      <c r="F67" s="38">
        <f>$C67*'Forecasted Targets'!H$60</f>
        <v>3608.1730769230767</v>
      </c>
      <c r="G67" s="38">
        <f>$F67*'Comm Breakdown'!D$20</f>
        <v>1681.2405844737007</v>
      </c>
      <c r="H67" s="38">
        <f>$F67*'Comm Breakdown'!E$20</f>
        <v>1490.285101384412</v>
      </c>
      <c r="I67" s="38">
        <f>$F67*'Comm Breakdown'!F$20</f>
        <v>436.64739106496461</v>
      </c>
      <c r="K67" s="114">
        <f t="shared" si="22"/>
        <v>8685.6837606837616</v>
      </c>
      <c r="L67" s="114">
        <f t="shared" si="23"/>
        <v>1351.6432576958241</v>
      </c>
      <c r="M67" s="114">
        <f t="shared" si="24"/>
        <v>868.5683760683761</v>
      </c>
      <c r="N67" s="114">
        <f t="shared" si="25"/>
        <v>6465.4721269195607</v>
      </c>
      <c r="O67" s="114">
        <f t="shared" si="26"/>
        <v>3027.6328504050957</v>
      </c>
      <c r="P67" s="114">
        <f t="shared" si="27"/>
        <v>2654.8894066672146</v>
      </c>
      <c r="Q67" s="114">
        <f t="shared" si="28"/>
        <v>782.94986984725119</v>
      </c>
      <c r="R67" s="114"/>
      <c r="S67" s="1">
        <f t="shared" si="20"/>
        <v>8377.3266082159062</v>
      </c>
      <c r="T67" s="1">
        <f t="shared" si="19"/>
        <v>1334.3720347766864</v>
      </c>
      <c r="U67" s="1">
        <f t="shared" si="19"/>
        <v>837.7326608215908</v>
      </c>
      <c r="V67" s="1">
        <f t="shared" si="19"/>
        <v>6204.7829452795977</v>
      </c>
      <c r="W67" s="1">
        <f t="shared" si="19"/>
        <v>2912.1018752955879</v>
      </c>
      <c r="X67" s="1">
        <f t="shared" si="19"/>
        <v>2541.2699008332538</v>
      </c>
      <c r="Y67" s="1">
        <f t="shared" si="19"/>
        <v>751.38360818713875</v>
      </c>
      <c r="Z67" s="121"/>
    </row>
    <row r="68" spans="1:26" s="127" customFormat="1" x14ac:dyDescent="0.25">
      <c r="A68" s="125">
        <f t="shared" si="1"/>
        <v>2016</v>
      </c>
      <c r="B68" s="125">
        <f t="shared" si="2"/>
        <v>7</v>
      </c>
      <c r="C68" s="158">
        <f>('2015'!E20-'2015'!E8)+'2016'!E8</f>
        <v>5064.1025641025644</v>
      </c>
      <c r="D68" s="126">
        <f>C68*'Forecasted Targets'!$F$60</f>
        <v>759.61538461538464</v>
      </c>
      <c r="E68" s="126">
        <f>$C68*'Forecasted Targets'!G$60</f>
        <v>506.41025641025647</v>
      </c>
      <c r="F68" s="126">
        <f>$C68*'Forecasted Targets'!H$60</f>
        <v>3798.0769230769233</v>
      </c>
      <c r="G68" s="126">
        <f>$F68*'Comm Breakdown'!D$20</f>
        <v>1769.7269310249483</v>
      </c>
      <c r="H68" s="126">
        <f>$F68*'Comm Breakdown'!E$20</f>
        <v>1568.7211593520128</v>
      </c>
      <c r="I68" s="126">
        <f>$F68*'Comm Breakdown'!F$20</f>
        <v>459.62883269996286</v>
      </c>
      <c r="K68" s="131">
        <f>C44+C56+C68</f>
        <v>9192.0940170940194</v>
      </c>
      <c r="L68" s="131">
        <f t="shared" si="23"/>
        <v>1435.7365784229059</v>
      </c>
      <c r="M68" s="131">
        <f t="shared" si="24"/>
        <v>919.20940170940185</v>
      </c>
      <c r="N68" s="131">
        <f t="shared" si="25"/>
        <v>6837.1480369617111</v>
      </c>
      <c r="O68" s="131">
        <f t="shared" si="26"/>
        <v>3202.3440166279988</v>
      </c>
      <c r="P68" s="131">
        <f t="shared" si="27"/>
        <v>2806.8925169161321</v>
      </c>
      <c r="Q68" s="131">
        <f t="shared" si="28"/>
        <v>827.91150341758066</v>
      </c>
      <c r="R68" s="131"/>
      <c r="S68" s="1">
        <f t="shared" si="20"/>
        <v>8946.9172865883756</v>
      </c>
      <c r="T68" s="1">
        <f t="shared" si="19"/>
        <v>1418.7715765853754</v>
      </c>
      <c r="U68" s="1">
        <f t="shared" si="19"/>
        <v>894.69172865883786</v>
      </c>
      <c r="V68" s="1">
        <f t="shared" si="19"/>
        <v>6633.1071125590688</v>
      </c>
      <c r="W68" s="1">
        <f t="shared" si="19"/>
        <v>3111.3760574459402</v>
      </c>
      <c r="X68" s="1">
        <f t="shared" si="19"/>
        <v>2718.4988481015885</v>
      </c>
      <c r="Y68" s="1">
        <f t="shared" si="19"/>
        <v>803.21038138832682</v>
      </c>
      <c r="Z68" s="129"/>
    </row>
    <row r="69" spans="1:26" x14ac:dyDescent="0.25">
      <c r="A69" s="32">
        <f t="shared" si="1"/>
        <v>2016</v>
      </c>
      <c r="B69" s="32">
        <f t="shared" si="2"/>
        <v>8</v>
      </c>
      <c r="C69" s="158">
        <f>('2015'!E21-'2015'!E9)+'2016'!E9</f>
        <v>5317.3076923076924</v>
      </c>
      <c r="D69" s="38">
        <f>C69*'Forecasted Targets'!$F$60</f>
        <v>797.59615384615381</v>
      </c>
      <c r="E69" s="38">
        <f>$C69*'Forecasted Targets'!G$60</f>
        <v>531.73076923076928</v>
      </c>
      <c r="F69" s="38">
        <f>$C69*'Forecasted Targets'!H$60</f>
        <v>3987.9807692307695</v>
      </c>
      <c r="G69" s="38">
        <f>$F69*'Comm Breakdown'!D$20</f>
        <v>1858.2132775761957</v>
      </c>
      <c r="H69" s="38">
        <f>$F69*'Comm Breakdown'!E$20</f>
        <v>1647.1572173196134</v>
      </c>
      <c r="I69" s="38">
        <f>$F69*'Comm Breakdown'!F$20</f>
        <v>482.61027433496099</v>
      </c>
      <c r="K69" s="114">
        <f t="shared" si="22"/>
        <v>9698.5042735042734</v>
      </c>
      <c r="L69" s="114">
        <f t="shared" si="23"/>
        <v>1519.8298991499876</v>
      </c>
      <c r="M69" s="114">
        <f t="shared" si="24"/>
        <v>969.85042735042748</v>
      </c>
      <c r="N69" s="114">
        <f t="shared" si="25"/>
        <v>7208.8239470038598</v>
      </c>
      <c r="O69" s="114">
        <f t="shared" si="26"/>
        <v>3377.0551828509015</v>
      </c>
      <c r="P69" s="114">
        <f t="shared" si="27"/>
        <v>2958.8956271650486</v>
      </c>
      <c r="Q69" s="114">
        <f t="shared" si="28"/>
        <v>872.8731369879099</v>
      </c>
      <c r="R69" s="114"/>
      <c r="S69" s="1">
        <f t="shared" si="20"/>
        <v>9555.2355395274899</v>
      </c>
      <c r="T69" s="1">
        <f t="shared" si="19"/>
        <v>1508.5094217096826</v>
      </c>
      <c r="U69" s="1">
        <f t="shared" si="19"/>
        <v>955.52355395274924</v>
      </c>
      <c r="V69" s="1">
        <f t="shared" si="19"/>
        <v>7090.9990493952855</v>
      </c>
      <c r="W69" s="1">
        <f t="shared" si="19"/>
        <v>3324.2865069290283</v>
      </c>
      <c r="X69" s="1">
        <f t="shared" si="19"/>
        <v>2908.0877968556142</v>
      </c>
      <c r="Y69" s="1">
        <f t="shared" si="19"/>
        <v>858.61191239788377</v>
      </c>
      <c r="Z69" s="121"/>
    </row>
    <row r="70" spans="1:26" s="118" customFormat="1" x14ac:dyDescent="0.25">
      <c r="A70" s="116">
        <f t="shared" si="1"/>
        <v>2016</v>
      </c>
      <c r="B70" s="116">
        <f t="shared" si="2"/>
        <v>9</v>
      </c>
      <c r="C70" s="158">
        <f>('2015'!E22-'2015'!E10)+'2016'!E10</f>
        <v>5570.5128205128203</v>
      </c>
      <c r="D70" s="117">
        <f>C70*'Forecasted Targets'!$F$60</f>
        <v>835.57692307692298</v>
      </c>
      <c r="E70" s="117">
        <f>$C70*'Forecasted Targets'!G$60</f>
        <v>557.0512820512821</v>
      </c>
      <c r="F70" s="117">
        <f>$C70*'Forecasted Targets'!H$60</f>
        <v>4177.8846153846152</v>
      </c>
      <c r="G70" s="117">
        <f>$F70*'Comm Breakdown'!D$20</f>
        <v>1946.6996241274428</v>
      </c>
      <c r="H70" s="117">
        <f>$F70*'Comm Breakdown'!E$20</f>
        <v>1725.5932752872138</v>
      </c>
      <c r="I70" s="117">
        <f>$F70*'Comm Breakdown'!F$20</f>
        <v>505.59171596995907</v>
      </c>
      <c r="K70" s="119">
        <f>C46+C58+C70</f>
        <v>10204.914529914531</v>
      </c>
      <c r="L70" s="119">
        <f t="shared" si="23"/>
        <v>1603.9232198770692</v>
      </c>
      <c r="M70" s="119">
        <f t="shared" si="24"/>
        <v>1020.4914529914531</v>
      </c>
      <c r="N70" s="119">
        <f t="shared" si="25"/>
        <v>7580.4998570460084</v>
      </c>
      <c r="O70" s="119">
        <f t="shared" si="26"/>
        <v>3551.7663490738041</v>
      </c>
      <c r="P70" s="119">
        <f t="shared" si="27"/>
        <v>3110.8987374139656</v>
      </c>
      <c r="Q70" s="119">
        <f t="shared" si="28"/>
        <v>917.83477055823914</v>
      </c>
      <c r="R70" s="119"/>
      <c r="S70" s="120">
        <f>K70</f>
        <v>10204.914529914531</v>
      </c>
      <c r="T70" s="120">
        <f t="shared" ref="T70:Y70" si="29">L70</f>
        <v>1603.9232198770692</v>
      </c>
      <c r="U70" s="120">
        <f t="shared" si="29"/>
        <v>1020.4914529914531</v>
      </c>
      <c r="V70" s="120">
        <f t="shared" si="29"/>
        <v>7580.4998570460084</v>
      </c>
      <c r="W70" s="120">
        <f t="shared" si="29"/>
        <v>3551.7663490738041</v>
      </c>
      <c r="X70" s="120">
        <f t="shared" si="29"/>
        <v>3110.8987374139656</v>
      </c>
      <c r="Y70" s="120">
        <f t="shared" si="29"/>
        <v>917.83477055823914</v>
      </c>
      <c r="Z70" s="122"/>
    </row>
    <row r="71" spans="1:26" x14ac:dyDescent="0.25">
      <c r="A71" s="32">
        <f t="shared" si="1"/>
        <v>2016</v>
      </c>
      <c r="B71" s="32">
        <f t="shared" si="2"/>
        <v>10</v>
      </c>
      <c r="C71" s="158">
        <f>('2015'!E23-'2015'!E11)+'2016'!E11</f>
        <v>5823.7179487179492</v>
      </c>
      <c r="D71" s="38">
        <f>C71*'Forecasted Targets'!$F$60</f>
        <v>873.55769230769238</v>
      </c>
      <c r="E71" s="38">
        <f>$C71*'Forecasted Targets'!G$60</f>
        <v>582.37179487179492</v>
      </c>
      <c r="F71" s="38">
        <f>$C71*'Forecasted Targets'!H$60</f>
        <v>4367.7884615384619</v>
      </c>
      <c r="G71" s="38">
        <f>$F71*'Comm Breakdown'!D$20</f>
        <v>2035.1859706786904</v>
      </c>
      <c r="H71" s="38">
        <f>$F71*'Comm Breakdown'!E$20</f>
        <v>1804.0293332548147</v>
      </c>
      <c r="I71" s="38">
        <f>$F71*'Comm Breakdown'!F$20</f>
        <v>528.57315760495726</v>
      </c>
      <c r="K71" s="114">
        <f t="shared" si="22"/>
        <v>10711.324786324789</v>
      </c>
      <c r="L71" s="114">
        <f t="shared" si="23"/>
        <v>1688.0165406041513</v>
      </c>
      <c r="M71" s="114">
        <f t="shared" si="24"/>
        <v>1071.1324786324788</v>
      </c>
      <c r="N71" s="114">
        <f t="shared" si="25"/>
        <v>7952.175767088158</v>
      </c>
      <c r="O71" s="114">
        <f t="shared" si="26"/>
        <v>3726.4775152967068</v>
      </c>
      <c r="P71" s="114">
        <f t="shared" si="27"/>
        <v>3262.9018476628826</v>
      </c>
      <c r="Q71" s="114">
        <f t="shared" si="28"/>
        <v>962.7964041285685</v>
      </c>
      <c r="R71" s="114"/>
      <c r="S71" s="1">
        <f>S70*(S$82/S$70)^(1/12)</f>
        <v>10637.160326036494</v>
      </c>
      <c r="T71" s="1">
        <f t="shared" ref="T71:Y81" si="30">T70*(T$82/T$70)^(1/12)</f>
        <v>1669.3464283703318</v>
      </c>
      <c r="U71" s="1">
        <f t="shared" si="30"/>
        <v>1063.7160326036494</v>
      </c>
      <c r="V71" s="1">
        <f t="shared" si="30"/>
        <v>7904.0728687813707</v>
      </c>
      <c r="W71" s="1">
        <f t="shared" si="30"/>
        <v>3701.3618389793937</v>
      </c>
      <c r="X71" s="1">
        <f t="shared" si="30"/>
        <v>3245.6630298036353</v>
      </c>
      <c r="Y71" s="1">
        <f t="shared" si="30"/>
        <v>957.03536665463844</v>
      </c>
      <c r="Z71" s="121"/>
    </row>
    <row r="72" spans="1:26" x14ac:dyDescent="0.25">
      <c r="A72" s="32">
        <f t="shared" si="1"/>
        <v>2016</v>
      </c>
      <c r="B72" s="32">
        <f t="shared" si="2"/>
        <v>11</v>
      </c>
      <c r="C72" s="158">
        <f>('2015'!E24-'2015'!E12)+'2016'!E12</f>
        <v>6076.9230769230762</v>
      </c>
      <c r="D72" s="38">
        <f>C72*'Forecasted Targets'!$F$60</f>
        <v>911.53846153846143</v>
      </c>
      <c r="E72" s="38">
        <f>$C72*'Forecasted Targets'!G$60</f>
        <v>607.69230769230762</v>
      </c>
      <c r="F72" s="38">
        <f>$C72*'Forecasted Targets'!H$60</f>
        <v>4557.6923076923067</v>
      </c>
      <c r="G72" s="38">
        <f>$F72*'Comm Breakdown'!D$20</f>
        <v>2123.6723172299371</v>
      </c>
      <c r="H72" s="38">
        <f>$F72*'Comm Breakdown'!E$20</f>
        <v>1882.4653912224148</v>
      </c>
      <c r="I72" s="38">
        <f>$F72*'Comm Breakdown'!F$20</f>
        <v>551.55459923995522</v>
      </c>
      <c r="K72" s="114">
        <f t="shared" si="22"/>
        <v>11217.735042735043</v>
      </c>
      <c r="L72" s="114">
        <f t="shared" si="23"/>
        <v>1772.1098613312329</v>
      </c>
      <c r="M72" s="114">
        <f t="shared" si="24"/>
        <v>1121.7735042735044</v>
      </c>
      <c r="N72" s="114">
        <f t="shared" si="25"/>
        <v>8323.8516771303039</v>
      </c>
      <c r="O72" s="114">
        <f t="shared" si="26"/>
        <v>3901.1886815196085</v>
      </c>
      <c r="P72" s="114">
        <f t="shared" si="27"/>
        <v>3414.9049579117991</v>
      </c>
      <c r="Q72" s="114">
        <f t="shared" si="28"/>
        <v>1007.7580376988975</v>
      </c>
      <c r="R72" s="114"/>
      <c r="S72" s="1">
        <f t="shared" ref="S72:S81" si="31">S71*(S$82/S$70)^(1/12)</f>
        <v>11087.714597718681</v>
      </c>
      <c r="T72" s="1">
        <f t="shared" si="30"/>
        <v>1737.4382161051126</v>
      </c>
      <c r="U72" s="1">
        <f t="shared" si="30"/>
        <v>1108.771459771868</v>
      </c>
      <c r="V72" s="1">
        <f t="shared" si="30"/>
        <v>8241.4575678589827</v>
      </c>
      <c r="W72" s="1">
        <f t="shared" si="30"/>
        <v>3857.2580841714139</v>
      </c>
      <c r="X72" s="1">
        <f t="shared" si="30"/>
        <v>3386.2653182311915</v>
      </c>
      <c r="Y72" s="1">
        <f t="shared" si="30"/>
        <v>997.91021478812104</v>
      </c>
      <c r="Z72" s="121"/>
    </row>
    <row r="73" spans="1:26" x14ac:dyDescent="0.25">
      <c r="A73" s="32">
        <f t="shared" si="1"/>
        <v>2016</v>
      </c>
      <c r="B73" s="32">
        <f t="shared" si="2"/>
        <v>12</v>
      </c>
      <c r="C73" s="158">
        <f>('2015'!E25-'2015'!E13)+'2016'!E13</f>
        <v>6330.1282051282051</v>
      </c>
      <c r="D73" s="38">
        <f>C73*'Forecasted Targets'!$F$60</f>
        <v>949.51923076923072</v>
      </c>
      <c r="E73" s="38">
        <f>$C73*'Forecasted Targets'!G$60</f>
        <v>633.01282051282055</v>
      </c>
      <c r="F73" s="38">
        <f>$C73*'Forecasted Targets'!H$60</f>
        <v>4747.5961538461543</v>
      </c>
      <c r="G73" s="38">
        <f>$F73*'Comm Breakdown'!D$20</f>
        <v>2212.1586637811852</v>
      </c>
      <c r="H73" s="38">
        <f>$F73*'Comm Breakdown'!E$20</f>
        <v>1960.9014491900159</v>
      </c>
      <c r="I73" s="38">
        <f>$F73*'Comm Breakdown'!F$20</f>
        <v>574.53604087495353</v>
      </c>
      <c r="K73" s="114">
        <f t="shared" si="22"/>
        <v>11724.145299145301</v>
      </c>
      <c r="L73" s="114">
        <f t="shared" si="23"/>
        <v>1856.2031820583147</v>
      </c>
      <c r="M73" s="114">
        <f t="shared" si="24"/>
        <v>1172.41452991453</v>
      </c>
      <c r="N73" s="114">
        <f t="shared" si="25"/>
        <v>8695.5275871724552</v>
      </c>
      <c r="O73" s="114">
        <f t="shared" si="26"/>
        <v>4075.8998477425121</v>
      </c>
      <c r="P73" s="114">
        <f t="shared" si="27"/>
        <v>3566.9080681607165</v>
      </c>
      <c r="Q73" s="114">
        <f t="shared" si="28"/>
        <v>1052.7196712692271</v>
      </c>
      <c r="R73" s="114"/>
      <c r="S73" s="1">
        <f t="shared" si="31"/>
        <v>11557.352830299171</v>
      </c>
      <c r="T73" s="1">
        <f t="shared" si="30"/>
        <v>1808.3074330649613</v>
      </c>
      <c r="U73" s="1">
        <f t="shared" si="30"/>
        <v>1155.7352830299169</v>
      </c>
      <c r="V73" s="1">
        <f t="shared" si="30"/>
        <v>8593.2435050149124</v>
      </c>
      <c r="W73" s="1">
        <f t="shared" si="30"/>
        <v>4019.7204637545728</v>
      </c>
      <c r="X73" s="1">
        <f t="shared" si="30"/>
        <v>3532.9585049835382</v>
      </c>
      <c r="Y73" s="1">
        <f t="shared" si="30"/>
        <v>1040.5308220316097</v>
      </c>
      <c r="Z73" s="121"/>
    </row>
    <row r="74" spans="1:26" x14ac:dyDescent="0.25">
      <c r="A74" s="32">
        <f t="shared" si="1"/>
        <v>2017</v>
      </c>
      <c r="B74" s="32">
        <f t="shared" si="2"/>
        <v>1</v>
      </c>
      <c r="C74" s="158">
        <f>('2016'!E14-'2017'!E2)+'2017'!E2</f>
        <v>6583.333333333333</v>
      </c>
      <c r="D74" s="38">
        <f>C74*'Forecasted Targets'!$F$61</f>
        <v>987.49999999999989</v>
      </c>
      <c r="E74" s="38">
        <f>$C74*'Forecasted Targets'!G$61</f>
        <v>658.33333333333337</v>
      </c>
      <c r="F74" s="38">
        <f>$C74*'Forecasted Targets'!H$61</f>
        <v>4937.5</v>
      </c>
      <c r="G74" s="38">
        <f>$F74*'Comm Breakdown'!D$21</f>
        <v>2275.3038001786595</v>
      </c>
      <c r="H74" s="38">
        <f>$F74*'Comm Breakdown'!E$21</f>
        <v>2063.9364495008067</v>
      </c>
      <c r="I74" s="38">
        <f>$F74*'Comm Breakdown'!F$21</f>
        <v>598.25975032053327</v>
      </c>
      <c r="K74" s="114">
        <f t="shared" ref="K74:K85" si="32">C38+C50+C62+C74</f>
        <v>12736.965811965812</v>
      </c>
      <c r="L74" s="114">
        <f t="shared" ref="L74:Q74" si="33">D38+D50+D62+D74</f>
        <v>1918.6766540604151</v>
      </c>
      <c r="M74" s="114">
        <f t="shared" si="33"/>
        <v>1273.6965811965813</v>
      </c>
      <c r="N74" s="114">
        <f t="shared" si="33"/>
        <v>9544.5925767088156</v>
      </c>
      <c r="O74" s="114">
        <f t="shared" si="33"/>
        <v>4429.380819469241</v>
      </c>
      <c r="P74" s="114">
        <f t="shared" si="33"/>
        <v>3958.810304923436</v>
      </c>
      <c r="Q74" s="114">
        <f t="shared" si="33"/>
        <v>1156.4014523161381</v>
      </c>
      <c r="R74" s="114"/>
      <c r="S74" s="1">
        <f t="shared" si="31"/>
        <v>12046.883356062126</v>
      </c>
      <c r="T74" s="1">
        <f t="shared" si="30"/>
        <v>1882.0673691686316</v>
      </c>
      <c r="U74" s="1">
        <f t="shared" si="30"/>
        <v>1204.6883356062126</v>
      </c>
      <c r="V74" s="1">
        <f t="shared" si="30"/>
        <v>8960.0453959098159</v>
      </c>
      <c r="W74" s="1">
        <f t="shared" si="30"/>
        <v>4189.0255342347009</v>
      </c>
      <c r="X74" s="1">
        <f t="shared" si="30"/>
        <v>3686.0064480875812</v>
      </c>
      <c r="Y74" s="1">
        <f t="shared" si="30"/>
        <v>1084.9717495152206</v>
      </c>
      <c r="Z74" s="121"/>
    </row>
    <row r="75" spans="1:26" x14ac:dyDescent="0.25">
      <c r="A75" s="32">
        <f t="shared" si="1"/>
        <v>2017</v>
      </c>
      <c r="B75" s="32">
        <f t="shared" si="2"/>
        <v>2</v>
      </c>
      <c r="C75" s="158">
        <f>('2016'!E15-'2017'!E3)+'2017'!E3</f>
        <v>6583.333333333333</v>
      </c>
      <c r="D75" s="38">
        <f>C75*'Forecasted Targets'!$F$61</f>
        <v>987.49999999999989</v>
      </c>
      <c r="E75" s="38">
        <f>$C75*'Forecasted Targets'!G$61</f>
        <v>658.33333333333337</v>
      </c>
      <c r="F75" s="38">
        <f>$C75*'Forecasted Targets'!H$61</f>
        <v>4937.5</v>
      </c>
      <c r="G75" s="38">
        <f>$F75*'Comm Breakdown'!D$21</f>
        <v>2275.3038001786595</v>
      </c>
      <c r="H75" s="38">
        <f>$F75*'Comm Breakdown'!E$21</f>
        <v>2063.9364495008067</v>
      </c>
      <c r="I75" s="38">
        <f>$F75*'Comm Breakdown'!F$21</f>
        <v>598.25975032053327</v>
      </c>
      <c r="K75" s="114">
        <f t="shared" si="32"/>
        <v>13243.37606837607</v>
      </c>
      <c r="L75" s="114">
        <f t="shared" ref="L75:L85" si="34">D39+D51+D63+D75</f>
        <v>2002.7699747874967</v>
      </c>
      <c r="M75" s="114">
        <f t="shared" ref="M75:M85" si="35">E39+E51+E63+E75</f>
        <v>1324.3376068376069</v>
      </c>
      <c r="N75" s="114">
        <f t="shared" ref="N75:N85" si="36">F39+F51+F63+F75</f>
        <v>9916.2684867509652</v>
      </c>
      <c r="O75" s="114">
        <f t="shared" ref="O75:O85" si="37">G39+G51+G63+G75</f>
        <v>4604.0919856921446</v>
      </c>
      <c r="P75" s="114">
        <f t="shared" ref="P75:P85" si="38">H39+H51+H63+H75</f>
        <v>4110.8134151723534</v>
      </c>
      <c r="Q75" s="114">
        <f t="shared" ref="Q75:Q85" si="39">I39+I51+I63+I75</f>
        <v>1201.3630858864676</v>
      </c>
      <c r="R75" s="114"/>
      <c r="S75" s="1">
        <f t="shared" si="31"/>
        <v>12557.148745523758</v>
      </c>
      <c r="T75" s="1">
        <f t="shared" si="30"/>
        <v>1958.8359353727687</v>
      </c>
      <c r="U75" s="1">
        <f t="shared" si="30"/>
        <v>1255.7148745523757</v>
      </c>
      <c r="V75" s="1">
        <f t="shared" si="30"/>
        <v>9342.5041952916672</v>
      </c>
      <c r="W75" s="1">
        <f t="shared" si="30"/>
        <v>4365.4615002954406</v>
      </c>
      <c r="X75" s="1">
        <f t="shared" si="30"/>
        <v>3845.6844359134452</v>
      </c>
      <c r="Y75" s="1">
        <f t="shared" si="30"/>
        <v>1131.3107428646244</v>
      </c>
      <c r="Z75" s="121"/>
    </row>
    <row r="76" spans="1:26" x14ac:dyDescent="0.25">
      <c r="A76" s="32">
        <f t="shared" si="1"/>
        <v>2017</v>
      </c>
      <c r="B76" s="32">
        <f t="shared" si="2"/>
        <v>3</v>
      </c>
      <c r="C76" s="158">
        <f>('2016'!E16-'2017'!E4)+'2017'!E4</f>
        <v>6583.333333333333</v>
      </c>
      <c r="D76" s="38">
        <f>C76*'Forecasted Targets'!$F$61</f>
        <v>987.49999999999989</v>
      </c>
      <c r="E76" s="38">
        <f>$C76*'Forecasted Targets'!G$61</f>
        <v>658.33333333333337</v>
      </c>
      <c r="F76" s="38">
        <f>$C76*'Forecasted Targets'!H$61</f>
        <v>4937.5</v>
      </c>
      <c r="G76" s="38">
        <f>$F76*'Comm Breakdown'!D$21</f>
        <v>2275.3038001786595</v>
      </c>
      <c r="H76" s="38">
        <f>$F76*'Comm Breakdown'!E$21</f>
        <v>2063.9364495008067</v>
      </c>
      <c r="I76" s="38">
        <f>$F76*'Comm Breakdown'!F$21</f>
        <v>598.25975032053327</v>
      </c>
      <c r="K76" s="114">
        <f t="shared" si="32"/>
        <v>13749.786324786324</v>
      </c>
      <c r="L76" s="114">
        <f t="shared" si="34"/>
        <v>2086.8632955145786</v>
      </c>
      <c r="M76" s="114">
        <f t="shared" si="35"/>
        <v>1374.9786324786326</v>
      </c>
      <c r="N76" s="114">
        <f t="shared" si="36"/>
        <v>10287.944396793115</v>
      </c>
      <c r="O76" s="114">
        <f t="shared" si="37"/>
        <v>4778.8031519150463</v>
      </c>
      <c r="P76" s="114">
        <f t="shared" si="38"/>
        <v>4262.8165254212699</v>
      </c>
      <c r="Q76" s="114">
        <f t="shared" si="39"/>
        <v>1246.3247194567966</v>
      </c>
      <c r="R76" s="114"/>
      <c r="S76" s="1">
        <f t="shared" si="31"/>
        <v>13089.027257648473</v>
      </c>
      <c r="T76" s="1">
        <f t="shared" si="30"/>
        <v>2038.7358521616845</v>
      </c>
      <c r="U76" s="1">
        <f t="shared" si="30"/>
        <v>1308.9027257648472</v>
      </c>
      <c r="V76" s="1">
        <f t="shared" si="30"/>
        <v>9741.2882170090415</v>
      </c>
      <c r="W76" s="1">
        <f t="shared" si="30"/>
        <v>4549.3287054033963</v>
      </c>
      <c r="X76" s="1">
        <f t="shared" si="30"/>
        <v>4012.2796823375261</v>
      </c>
      <c r="Y76" s="1">
        <f t="shared" si="30"/>
        <v>1179.6288682104102</v>
      </c>
      <c r="Z76" s="121"/>
    </row>
    <row r="77" spans="1:26" x14ac:dyDescent="0.25">
      <c r="A77" s="32">
        <f t="shared" si="1"/>
        <v>2017</v>
      </c>
      <c r="B77" s="32">
        <f t="shared" si="2"/>
        <v>4</v>
      </c>
      <c r="C77" s="158">
        <f>('2016'!E17-'2017'!E5)+'2017'!E5</f>
        <v>6583.333333333333</v>
      </c>
      <c r="D77" s="38">
        <f>C77*'Forecasted Targets'!$F$61</f>
        <v>987.49999999999989</v>
      </c>
      <c r="E77" s="38">
        <f>$C77*'Forecasted Targets'!G$61</f>
        <v>658.33333333333337</v>
      </c>
      <c r="F77" s="38">
        <f>$C77*'Forecasted Targets'!H$61</f>
        <v>4937.5</v>
      </c>
      <c r="G77" s="38">
        <f>$F77*'Comm Breakdown'!D$21</f>
        <v>2275.3038001786595</v>
      </c>
      <c r="H77" s="38">
        <f>$F77*'Comm Breakdown'!E$21</f>
        <v>2063.9364495008067</v>
      </c>
      <c r="I77" s="38">
        <f>$F77*'Comm Breakdown'!F$21</f>
        <v>598.25975032053327</v>
      </c>
      <c r="K77" s="114">
        <f t="shared" si="32"/>
        <v>14256.196581196582</v>
      </c>
      <c r="L77" s="114">
        <f t="shared" si="34"/>
        <v>2170.9566162416604</v>
      </c>
      <c r="M77" s="114">
        <f t="shared" si="35"/>
        <v>1425.6196581196582</v>
      </c>
      <c r="N77" s="114">
        <f t="shared" si="36"/>
        <v>10659.620306835262</v>
      </c>
      <c r="O77" s="114">
        <f t="shared" si="37"/>
        <v>4953.5143181379499</v>
      </c>
      <c r="P77" s="114">
        <f t="shared" si="38"/>
        <v>4414.8196356701874</v>
      </c>
      <c r="Q77" s="114">
        <f t="shared" si="39"/>
        <v>1291.2863530271261</v>
      </c>
      <c r="R77" s="114"/>
      <c r="S77" s="1">
        <f t="shared" si="31"/>
        <v>13643.434351491298</v>
      </c>
      <c r="T77" s="1">
        <f t="shared" si="30"/>
        <v>2121.8948457255324</v>
      </c>
      <c r="U77" s="1">
        <f t="shared" si="30"/>
        <v>1364.3434351491298</v>
      </c>
      <c r="V77" s="1">
        <f t="shared" si="30"/>
        <v>10157.094301832069</v>
      </c>
      <c r="W77" s="1">
        <f t="shared" si="30"/>
        <v>4740.9401430768939</v>
      </c>
      <c r="X77" s="1">
        <f t="shared" si="30"/>
        <v>4186.0918433560328</v>
      </c>
      <c r="Y77" s="1">
        <f t="shared" si="30"/>
        <v>1230.0106540063916</v>
      </c>
      <c r="Z77" s="121"/>
    </row>
    <row r="78" spans="1:26" x14ac:dyDescent="0.25">
      <c r="A78" s="32">
        <f t="shared" si="1"/>
        <v>2017</v>
      </c>
      <c r="B78" s="32">
        <f t="shared" si="2"/>
        <v>5</v>
      </c>
      <c r="C78" s="158">
        <f>('2016'!E18-'2017'!E6)+'2017'!E6</f>
        <v>6583.333333333333</v>
      </c>
      <c r="D78" s="38">
        <f>C78*'Forecasted Targets'!$F$61</f>
        <v>987.49999999999989</v>
      </c>
      <c r="E78" s="38">
        <f>$C78*'Forecasted Targets'!G$61</f>
        <v>658.33333333333337</v>
      </c>
      <c r="F78" s="38">
        <f>$C78*'Forecasted Targets'!H$61</f>
        <v>4937.5</v>
      </c>
      <c r="G78" s="38">
        <f>$F78*'Comm Breakdown'!D$21</f>
        <v>2275.3038001786595</v>
      </c>
      <c r="H78" s="38">
        <f>$F78*'Comm Breakdown'!E$21</f>
        <v>2063.9364495008067</v>
      </c>
      <c r="I78" s="38">
        <f>$F78*'Comm Breakdown'!F$21</f>
        <v>598.25975032053327</v>
      </c>
      <c r="K78" s="114">
        <f t="shared" si="32"/>
        <v>14762.606837606838</v>
      </c>
      <c r="L78" s="114">
        <f t="shared" si="34"/>
        <v>2255.0499369687423</v>
      </c>
      <c r="M78" s="114">
        <f t="shared" si="35"/>
        <v>1476.2606837606841</v>
      </c>
      <c r="N78" s="114">
        <f t="shared" si="36"/>
        <v>11031.296216877412</v>
      </c>
      <c r="O78" s="114">
        <f t="shared" si="37"/>
        <v>5128.2254843608516</v>
      </c>
      <c r="P78" s="114">
        <f t="shared" si="38"/>
        <v>4566.8227459191039</v>
      </c>
      <c r="Q78" s="114">
        <f t="shared" si="39"/>
        <v>1336.2479865974551</v>
      </c>
      <c r="R78" s="114"/>
      <c r="S78" s="1">
        <f t="shared" si="31"/>
        <v>14221.32426186838</v>
      </c>
      <c r="T78" s="1">
        <f t="shared" si="30"/>
        <v>2208.4458521404908</v>
      </c>
      <c r="U78" s="1">
        <f t="shared" si="30"/>
        <v>1422.1324261868381</v>
      </c>
      <c r="V78" s="1">
        <f t="shared" si="30"/>
        <v>10590.649035121729</v>
      </c>
      <c r="W78" s="1">
        <f t="shared" si="30"/>
        <v>4940.6219896886814</v>
      </c>
      <c r="X78" s="1">
        <f t="shared" si="30"/>
        <v>4367.4335560782538</v>
      </c>
      <c r="Y78" s="1">
        <f t="shared" si="30"/>
        <v>1282.5442389049526</v>
      </c>
      <c r="Z78" s="121"/>
    </row>
    <row r="79" spans="1:26" x14ac:dyDescent="0.25">
      <c r="A79" s="32">
        <f t="shared" ref="A79:A121" si="40">A67+1</f>
        <v>2017</v>
      </c>
      <c r="B79" s="32">
        <f t="shared" ref="B79:B121" si="41">B67</f>
        <v>6</v>
      </c>
      <c r="C79" s="158">
        <f>('2016'!E19-'2017'!E7)+'2017'!E7</f>
        <v>6583.333333333333</v>
      </c>
      <c r="D79" s="38">
        <f>C79*'Forecasted Targets'!$F$61</f>
        <v>987.49999999999989</v>
      </c>
      <c r="E79" s="38">
        <f>$C79*'Forecasted Targets'!G$61</f>
        <v>658.33333333333337</v>
      </c>
      <c r="F79" s="38">
        <f>$C79*'Forecasted Targets'!H$61</f>
        <v>4937.5</v>
      </c>
      <c r="G79" s="38">
        <f>$F79*'Comm Breakdown'!D$21</f>
        <v>2275.3038001786595</v>
      </c>
      <c r="H79" s="38">
        <f>$F79*'Comm Breakdown'!E$21</f>
        <v>2063.9364495008067</v>
      </c>
      <c r="I79" s="38">
        <f>$F79*'Comm Breakdown'!F$21</f>
        <v>598.25975032053327</v>
      </c>
      <c r="K79" s="114">
        <f t="shared" si="32"/>
        <v>15269.017094017094</v>
      </c>
      <c r="L79" s="114">
        <f t="shared" si="34"/>
        <v>2339.1432576958241</v>
      </c>
      <c r="M79" s="114">
        <f t="shared" si="35"/>
        <v>1526.9017094017095</v>
      </c>
      <c r="N79" s="114">
        <f t="shared" si="36"/>
        <v>11402.972126919562</v>
      </c>
      <c r="O79" s="114">
        <f t="shared" si="37"/>
        <v>5302.9366505837552</v>
      </c>
      <c r="P79" s="114">
        <f t="shared" si="38"/>
        <v>4718.8258561680213</v>
      </c>
      <c r="Q79" s="114">
        <f t="shared" si="39"/>
        <v>1381.2096201677846</v>
      </c>
      <c r="R79" s="114"/>
      <c r="S79" s="1">
        <f t="shared" si="31"/>
        <v>14823.69164176758</v>
      </c>
      <c r="T79" s="1">
        <f t="shared" si="30"/>
        <v>2298.5272298773516</v>
      </c>
      <c r="U79" s="1">
        <f t="shared" si="30"/>
        <v>1482.369164176758</v>
      </c>
      <c r="V79" s="1">
        <f t="shared" si="30"/>
        <v>11042.710016475263</v>
      </c>
      <c r="W79" s="1">
        <f t="shared" si="30"/>
        <v>5148.7141597095333</v>
      </c>
      <c r="X79" s="1">
        <f t="shared" si="30"/>
        <v>4556.6310010690395</v>
      </c>
      <c r="Y79" s="1">
        <f t="shared" si="30"/>
        <v>1337.3215259481292</v>
      </c>
      <c r="Z79" s="121"/>
    </row>
    <row r="80" spans="1:26" s="127" customFormat="1" x14ac:dyDescent="0.25">
      <c r="A80" s="125">
        <f t="shared" si="40"/>
        <v>2017</v>
      </c>
      <c r="B80" s="125">
        <f t="shared" si="41"/>
        <v>7</v>
      </c>
      <c r="C80" s="158">
        <f>('2016'!E20-'2017'!E8)+'2017'!E8</f>
        <v>6583.333333333333</v>
      </c>
      <c r="D80" s="126">
        <f>C80*'Forecasted Targets'!$F$61</f>
        <v>987.49999999999989</v>
      </c>
      <c r="E80" s="126">
        <f>$C80*'Forecasted Targets'!G$61</f>
        <v>658.33333333333337</v>
      </c>
      <c r="F80" s="126">
        <f>$C80*'Forecasted Targets'!H$61</f>
        <v>4937.5</v>
      </c>
      <c r="G80" s="126">
        <f>$F80*'Comm Breakdown'!D$21</f>
        <v>2275.3038001786595</v>
      </c>
      <c r="H80" s="126">
        <f>$F80*'Comm Breakdown'!E$21</f>
        <v>2063.9364495008067</v>
      </c>
      <c r="I80" s="126">
        <f>$F80*'Comm Breakdown'!F$21</f>
        <v>598.25975032053327</v>
      </c>
      <c r="K80" s="131">
        <f t="shared" si="32"/>
        <v>15775.427350427351</v>
      </c>
      <c r="L80" s="131">
        <f t="shared" si="34"/>
        <v>2423.2365784229059</v>
      </c>
      <c r="M80" s="131">
        <f t="shared" si="35"/>
        <v>1577.5427350427353</v>
      </c>
      <c r="N80" s="131">
        <f t="shared" si="36"/>
        <v>11774.648036961711</v>
      </c>
      <c r="O80" s="131">
        <f t="shared" si="37"/>
        <v>5477.6478168066587</v>
      </c>
      <c r="P80" s="131">
        <f t="shared" si="38"/>
        <v>4870.8289664169388</v>
      </c>
      <c r="Q80" s="131">
        <f t="shared" si="39"/>
        <v>1426.171253738114</v>
      </c>
      <c r="R80" s="131"/>
      <c r="S80" s="1">
        <f t="shared" si="31"/>
        <v>15451.573274326043</v>
      </c>
      <c r="T80" s="1">
        <f t="shared" si="30"/>
        <v>2392.2829809782261</v>
      </c>
      <c r="U80" s="1">
        <f t="shared" si="30"/>
        <v>1545.1573274326042</v>
      </c>
      <c r="V80" s="1">
        <f t="shared" si="30"/>
        <v>11514.067183566291</v>
      </c>
      <c r="W80" s="1">
        <f t="shared" si="30"/>
        <v>5365.5708843379552</v>
      </c>
      <c r="X80" s="1">
        <f t="shared" si="30"/>
        <v>4754.0244890519907</v>
      </c>
      <c r="Y80" s="1">
        <f t="shared" si="30"/>
        <v>1394.438343344171</v>
      </c>
      <c r="Z80" s="129"/>
    </row>
    <row r="81" spans="1:26" x14ac:dyDescent="0.25">
      <c r="A81" s="32">
        <f t="shared" si="40"/>
        <v>2017</v>
      </c>
      <c r="B81" s="32">
        <f t="shared" si="41"/>
        <v>8</v>
      </c>
      <c r="C81" s="158">
        <f>('2016'!E21-'2017'!E9)+'2017'!E9</f>
        <v>6583.333333333333</v>
      </c>
      <c r="D81" s="38">
        <f>C81*'Forecasted Targets'!$F$61</f>
        <v>987.49999999999989</v>
      </c>
      <c r="E81" s="38">
        <f>$C81*'Forecasted Targets'!G$61</f>
        <v>658.33333333333337</v>
      </c>
      <c r="F81" s="38">
        <f>$C81*'Forecasted Targets'!H$61</f>
        <v>4937.5</v>
      </c>
      <c r="G81" s="38">
        <f>$F81*'Comm Breakdown'!D$21</f>
        <v>2275.3038001786595</v>
      </c>
      <c r="H81" s="38">
        <f>$F81*'Comm Breakdown'!E$21</f>
        <v>2063.9364495008067</v>
      </c>
      <c r="I81" s="38">
        <f>$F81*'Comm Breakdown'!F$21</f>
        <v>598.25975032053327</v>
      </c>
      <c r="K81" s="114">
        <f t="shared" si="32"/>
        <v>16281.837606837606</v>
      </c>
      <c r="L81" s="114">
        <f t="shared" si="34"/>
        <v>2507.3298991499873</v>
      </c>
      <c r="M81" s="114">
        <f t="shared" si="35"/>
        <v>1628.1837606837607</v>
      </c>
      <c r="N81" s="114">
        <f t="shared" si="36"/>
        <v>12146.323947003861</v>
      </c>
      <c r="O81" s="114">
        <f t="shared" si="37"/>
        <v>5652.3589830295605</v>
      </c>
      <c r="P81" s="114">
        <f t="shared" si="38"/>
        <v>5022.8320766658553</v>
      </c>
      <c r="Q81" s="114">
        <f t="shared" si="39"/>
        <v>1471.1328873084431</v>
      </c>
      <c r="R81" s="114"/>
      <c r="S81" s="1">
        <f t="shared" si="31"/>
        <v>16106.049857321379</v>
      </c>
      <c r="T81" s="1">
        <f t="shared" si="30"/>
        <v>2489.8629812549339</v>
      </c>
      <c r="U81" s="1">
        <f t="shared" si="30"/>
        <v>1610.6049857321377</v>
      </c>
      <c r="V81" s="1">
        <f t="shared" si="30"/>
        <v>12005.544192492936</v>
      </c>
      <c r="W81" s="1">
        <f t="shared" si="30"/>
        <v>5591.5613145009684</v>
      </c>
      <c r="X81" s="1">
        <f t="shared" si="30"/>
        <v>4959.9690730286557</v>
      </c>
      <c r="Y81" s="1">
        <f t="shared" si="30"/>
        <v>1453.9946121108471</v>
      </c>
      <c r="Z81" s="121"/>
    </row>
    <row r="82" spans="1:26" s="118" customFormat="1" x14ac:dyDescent="0.25">
      <c r="A82" s="116">
        <f t="shared" si="40"/>
        <v>2017</v>
      </c>
      <c r="B82" s="116">
        <f t="shared" si="41"/>
        <v>9</v>
      </c>
      <c r="C82" s="158">
        <f>('2016'!E22-'2017'!E10)+'2017'!E10</f>
        <v>6583.333333333333</v>
      </c>
      <c r="D82" s="117">
        <f>C82*'Forecasted Targets'!$F$61</f>
        <v>987.49999999999989</v>
      </c>
      <c r="E82" s="117">
        <f>$C82*'Forecasted Targets'!G$61</f>
        <v>658.33333333333337</v>
      </c>
      <c r="F82" s="117">
        <f>$C82*'Forecasted Targets'!H$61</f>
        <v>4937.5</v>
      </c>
      <c r="G82" s="117">
        <f>$F82*'Comm Breakdown'!D$21</f>
        <v>2275.3038001786595</v>
      </c>
      <c r="H82" s="117">
        <f>$F82*'Comm Breakdown'!E$21</f>
        <v>2063.9364495008067</v>
      </c>
      <c r="I82" s="117">
        <f>$F82*'Comm Breakdown'!F$21</f>
        <v>598.25975032053327</v>
      </c>
      <c r="K82" s="119">
        <f>C46+C58+C70+C82</f>
        <v>16788.247863247863</v>
      </c>
      <c r="L82" s="119">
        <f t="shared" si="34"/>
        <v>2591.4232198770692</v>
      </c>
      <c r="M82" s="119">
        <f t="shared" si="35"/>
        <v>1678.8247863247866</v>
      </c>
      <c r="N82" s="119">
        <f t="shared" si="36"/>
        <v>12517.999857046008</v>
      </c>
      <c r="O82" s="119">
        <f t="shared" si="37"/>
        <v>5827.070149252464</v>
      </c>
      <c r="P82" s="119">
        <f t="shared" si="38"/>
        <v>5174.8351869147718</v>
      </c>
      <c r="Q82" s="119">
        <f t="shared" si="39"/>
        <v>1516.0945208787725</v>
      </c>
      <c r="R82" s="119"/>
      <c r="S82" s="120">
        <f>K82</f>
        <v>16788.247863247863</v>
      </c>
      <c r="T82" s="120">
        <f t="shared" ref="T82:Y82" si="42">L82</f>
        <v>2591.4232198770692</v>
      </c>
      <c r="U82" s="120">
        <f t="shared" si="42"/>
        <v>1678.8247863247866</v>
      </c>
      <c r="V82" s="120">
        <f t="shared" si="42"/>
        <v>12517.999857046008</v>
      </c>
      <c r="W82" s="120">
        <f t="shared" si="42"/>
        <v>5827.070149252464</v>
      </c>
      <c r="X82" s="120">
        <f t="shared" si="42"/>
        <v>5174.8351869147718</v>
      </c>
      <c r="Y82" s="120">
        <f t="shared" si="42"/>
        <v>1516.0945208787725</v>
      </c>
      <c r="Z82" s="122"/>
    </row>
    <row r="83" spans="1:26" x14ac:dyDescent="0.25">
      <c r="A83" s="32">
        <f t="shared" si="40"/>
        <v>2017</v>
      </c>
      <c r="B83" s="32">
        <f t="shared" si="41"/>
        <v>10</v>
      </c>
      <c r="C83" s="158">
        <f>('2016'!E23-'2017'!E11)+'2017'!E11</f>
        <v>6583.333333333333</v>
      </c>
      <c r="D83" s="38">
        <f>C83*'Forecasted Targets'!$F$61</f>
        <v>987.49999999999989</v>
      </c>
      <c r="E83" s="38">
        <f>$C83*'Forecasted Targets'!G$61</f>
        <v>658.33333333333337</v>
      </c>
      <c r="F83" s="38">
        <f>$C83*'Forecasted Targets'!H$61</f>
        <v>4937.5</v>
      </c>
      <c r="G83" s="38">
        <f>$F83*'Comm Breakdown'!D$21</f>
        <v>2275.3038001786595</v>
      </c>
      <c r="H83" s="38">
        <f>$F83*'Comm Breakdown'!E$21</f>
        <v>2063.9364495008067</v>
      </c>
      <c r="I83" s="38">
        <f>$F83*'Comm Breakdown'!F$21</f>
        <v>598.25975032053327</v>
      </c>
      <c r="K83" s="114">
        <f t="shared" si="32"/>
        <v>17294.658119658121</v>
      </c>
      <c r="L83" s="114">
        <f t="shared" si="34"/>
        <v>2675.516540604151</v>
      </c>
      <c r="M83" s="114">
        <f t="shared" si="35"/>
        <v>1729.465811965812</v>
      </c>
      <c r="N83" s="114">
        <f t="shared" si="36"/>
        <v>12889.675767088158</v>
      </c>
      <c r="O83" s="114">
        <f t="shared" si="37"/>
        <v>6001.7813154753658</v>
      </c>
      <c r="P83" s="114">
        <f t="shared" si="38"/>
        <v>5326.8382971636893</v>
      </c>
      <c r="Q83" s="114">
        <f t="shared" si="39"/>
        <v>1561.0561544491018</v>
      </c>
      <c r="R83" s="114"/>
      <c r="S83" s="1">
        <f>S82*(S$94/S$82)^(1/12)</f>
        <v>17210.089077171109</v>
      </c>
      <c r="T83" s="1">
        <f t="shared" ref="T83:Y93" si="43">T82*(T$94/T$82)^(1/12)</f>
        <v>2654.9227413781955</v>
      </c>
      <c r="U83" s="1">
        <f t="shared" si="43"/>
        <v>1721.0089077171112</v>
      </c>
      <c r="V83" s="1">
        <f t="shared" si="43"/>
        <v>12834.150924690592</v>
      </c>
      <c r="W83" s="1">
        <f t="shared" si="43"/>
        <v>5971.9169117987603</v>
      </c>
      <c r="X83" s="1">
        <f t="shared" si="43"/>
        <v>5307.8805506821527</v>
      </c>
      <c r="Y83" s="1">
        <f t="shared" si="43"/>
        <v>1554.3427677830934</v>
      </c>
      <c r="Z83" s="121"/>
    </row>
    <row r="84" spans="1:26" x14ac:dyDescent="0.25">
      <c r="A84" s="32">
        <f t="shared" si="40"/>
        <v>2017</v>
      </c>
      <c r="B84" s="32">
        <f t="shared" si="41"/>
        <v>11</v>
      </c>
      <c r="C84" s="158">
        <f>('2016'!E24-'2017'!E12)+'2017'!E12</f>
        <v>6583.333333333333</v>
      </c>
      <c r="D84" s="38">
        <f>C84*'Forecasted Targets'!$F$61</f>
        <v>987.49999999999989</v>
      </c>
      <c r="E84" s="38">
        <f>$C84*'Forecasted Targets'!G$61</f>
        <v>658.33333333333337</v>
      </c>
      <c r="F84" s="38">
        <f>$C84*'Forecasted Targets'!H$61</f>
        <v>4937.5</v>
      </c>
      <c r="G84" s="38">
        <f>$F84*'Comm Breakdown'!D$21</f>
        <v>2275.3038001786595</v>
      </c>
      <c r="H84" s="38">
        <f>$F84*'Comm Breakdown'!E$21</f>
        <v>2063.9364495008067</v>
      </c>
      <c r="I84" s="38">
        <f>$F84*'Comm Breakdown'!F$21</f>
        <v>598.25975032053327</v>
      </c>
      <c r="K84" s="114">
        <f t="shared" si="32"/>
        <v>17801.068376068375</v>
      </c>
      <c r="L84" s="114">
        <f t="shared" si="34"/>
        <v>2759.6098613312329</v>
      </c>
      <c r="M84" s="114">
        <f t="shared" si="35"/>
        <v>1780.1068376068379</v>
      </c>
      <c r="N84" s="114">
        <f t="shared" si="36"/>
        <v>13261.351677130304</v>
      </c>
      <c r="O84" s="114">
        <f t="shared" si="37"/>
        <v>6176.4924816982675</v>
      </c>
      <c r="P84" s="114">
        <f t="shared" si="38"/>
        <v>5478.8414074126058</v>
      </c>
      <c r="Q84" s="114">
        <f t="shared" si="39"/>
        <v>1606.0177880194308</v>
      </c>
      <c r="R84" s="114"/>
      <c r="S84" s="1">
        <f t="shared" ref="S84:S93" si="44">S83*(S$94/S$82)^(1/12)</f>
        <v>17642.52996839325</v>
      </c>
      <c r="T84" s="1">
        <f t="shared" si="43"/>
        <v>2719.9782376810999</v>
      </c>
      <c r="U84" s="1">
        <f t="shared" si="43"/>
        <v>1764.2529968393251</v>
      </c>
      <c r="V84" s="1">
        <f t="shared" si="43"/>
        <v>13158.286614376575</v>
      </c>
      <c r="W84" s="1">
        <f t="shared" si="43"/>
        <v>6120.3642118506559</v>
      </c>
      <c r="X84" s="1">
        <f t="shared" si="43"/>
        <v>5444.3465197791011</v>
      </c>
      <c r="Y84" s="1">
        <f t="shared" si="43"/>
        <v>1593.5559468675042</v>
      </c>
      <c r="Z84" s="121"/>
    </row>
    <row r="85" spans="1:26" x14ac:dyDescent="0.25">
      <c r="A85" s="32">
        <f t="shared" si="40"/>
        <v>2017</v>
      </c>
      <c r="B85" s="32">
        <f t="shared" si="41"/>
        <v>12</v>
      </c>
      <c r="C85" s="158">
        <f>('2016'!E25-'2017'!E13)+'2017'!E13</f>
        <v>6583.333333333333</v>
      </c>
      <c r="D85" s="38">
        <f>C85*'Forecasted Targets'!$F$61</f>
        <v>987.49999999999989</v>
      </c>
      <c r="E85" s="38">
        <f>$C85*'Forecasted Targets'!G$61</f>
        <v>658.33333333333337</v>
      </c>
      <c r="F85" s="38">
        <f>$C85*'Forecasted Targets'!H$61</f>
        <v>4937.5</v>
      </c>
      <c r="G85" s="38">
        <f>$F85*'Comm Breakdown'!D$21</f>
        <v>2275.3038001786595</v>
      </c>
      <c r="H85" s="38">
        <f>$F85*'Comm Breakdown'!E$21</f>
        <v>2063.9364495008067</v>
      </c>
      <c r="I85" s="38">
        <f>$F85*'Comm Breakdown'!F$21</f>
        <v>598.25975032053327</v>
      </c>
      <c r="K85" s="114">
        <f t="shared" si="32"/>
        <v>18307.478632478633</v>
      </c>
      <c r="L85" s="114">
        <f t="shared" si="34"/>
        <v>2843.7031820583147</v>
      </c>
      <c r="M85" s="114">
        <f t="shared" si="35"/>
        <v>1830.7478632478633</v>
      </c>
      <c r="N85" s="114">
        <f t="shared" si="36"/>
        <v>13633.027587172455</v>
      </c>
      <c r="O85" s="114">
        <f t="shared" si="37"/>
        <v>6351.2036479211711</v>
      </c>
      <c r="P85" s="114">
        <f t="shared" si="38"/>
        <v>5630.8445176615232</v>
      </c>
      <c r="Q85" s="114">
        <f t="shared" si="39"/>
        <v>1650.9794215897605</v>
      </c>
      <c r="R85" s="114"/>
      <c r="S85" s="1">
        <f t="shared" si="44"/>
        <v>18085.836876842983</v>
      </c>
      <c r="T85" s="1">
        <f t="shared" si="43"/>
        <v>2786.6278359641701</v>
      </c>
      <c r="U85" s="1">
        <f t="shared" si="43"/>
        <v>1808.5836876842986</v>
      </c>
      <c r="V85" s="1">
        <f t="shared" si="43"/>
        <v>13490.608583462319</v>
      </c>
      <c r="W85" s="1">
        <f t="shared" si="43"/>
        <v>6272.5015499955398</v>
      </c>
      <c r="X85" s="1">
        <f t="shared" si="43"/>
        <v>5584.3210382007283</v>
      </c>
      <c r="Y85" s="1">
        <f t="shared" si="43"/>
        <v>1633.7584015774576</v>
      </c>
      <c r="Z85" s="121"/>
    </row>
    <row r="86" spans="1:26" x14ac:dyDescent="0.25">
      <c r="A86" s="32">
        <f t="shared" si="40"/>
        <v>2018</v>
      </c>
      <c r="B86" s="32">
        <f t="shared" si="41"/>
        <v>1</v>
      </c>
      <c r="C86" s="158">
        <f>('2017'!E14-'2017'!E2)+'2018'!E2</f>
        <v>6498.9316239316231</v>
      </c>
      <c r="D86" s="38">
        <f>C86*'Forecasted Targets'!$F$62</f>
        <v>974.83974358974342</v>
      </c>
      <c r="E86" s="38">
        <f>$C86*'Forecasted Targets'!G$62</f>
        <v>649.89316239316236</v>
      </c>
      <c r="F86" s="38">
        <f>$C86*'Forecasted Targets'!H$62</f>
        <v>4874.1987179487169</v>
      </c>
      <c r="G86" s="38">
        <f>$F86*'Comm Breakdown'!D$22</f>
        <v>2228.1268057538605</v>
      </c>
      <c r="H86" s="38">
        <f>$F86*'Comm Breakdown'!E$22</f>
        <v>2056.4788010422167</v>
      </c>
      <c r="I86" s="38">
        <f>$F86*'Comm Breakdown'!F$22</f>
        <v>589.59311115264006</v>
      </c>
      <c r="K86" s="114">
        <f t="shared" ref="K86:K97" si="45">C38+C50+C62+C74+C86</f>
        <v>19235.897435897437</v>
      </c>
      <c r="L86" s="114">
        <f t="shared" ref="L86:Q86" si="46">D38+D50+D62+D74+D86</f>
        <v>2893.5163976501585</v>
      </c>
      <c r="M86" s="114">
        <f t="shared" si="46"/>
        <v>1923.5897435897436</v>
      </c>
      <c r="N86" s="114">
        <f t="shared" si="46"/>
        <v>14418.791294657532</v>
      </c>
      <c r="O86" s="114">
        <f t="shared" si="46"/>
        <v>6657.5076252231011</v>
      </c>
      <c r="P86" s="114">
        <f t="shared" si="46"/>
        <v>6015.2891059656522</v>
      </c>
      <c r="Q86" s="114">
        <f t="shared" si="46"/>
        <v>1745.9945634687783</v>
      </c>
      <c r="R86" s="114"/>
      <c r="S86" s="1">
        <f t="shared" si="44"/>
        <v>18540.282834818569</v>
      </c>
      <c r="T86" s="1">
        <f t="shared" si="43"/>
        <v>2854.9105976636806</v>
      </c>
      <c r="U86" s="1">
        <f t="shared" si="43"/>
        <v>1854.0282834818572</v>
      </c>
      <c r="V86" s="1">
        <f t="shared" si="43"/>
        <v>13831.323582307452</v>
      </c>
      <c r="W86" s="1">
        <f t="shared" si="43"/>
        <v>6428.4206515872775</v>
      </c>
      <c r="X86" s="1">
        <f t="shared" si="43"/>
        <v>5727.8943109882257</v>
      </c>
      <c r="Y86" s="1">
        <f t="shared" si="43"/>
        <v>1674.9750894982892</v>
      </c>
      <c r="Z86" s="121"/>
    </row>
    <row r="87" spans="1:26" x14ac:dyDescent="0.25">
      <c r="A87" s="32">
        <f t="shared" si="40"/>
        <v>2018</v>
      </c>
      <c r="B87" s="32">
        <f t="shared" si="41"/>
        <v>2</v>
      </c>
      <c r="C87" s="158">
        <f>('2017'!E15-'2017'!E3)+'2018'!E3</f>
        <v>6414.5299145299141</v>
      </c>
      <c r="D87" s="38">
        <f>C87*'Forecasted Targets'!$F$62</f>
        <v>962.17948717948707</v>
      </c>
      <c r="E87" s="38">
        <f>$C87*'Forecasted Targets'!G$62</f>
        <v>641.45299145299145</v>
      </c>
      <c r="F87" s="38">
        <f>$C87*'Forecasted Targets'!H$62</f>
        <v>4810.8974358974356</v>
      </c>
      <c r="G87" s="38">
        <f>$F87*'Comm Breakdown'!D$22</f>
        <v>2199.1900939908237</v>
      </c>
      <c r="H87" s="38">
        <f>$F87*'Comm Breakdown'!E$22</f>
        <v>2029.771284145565</v>
      </c>
      <c r="I87" s="38">
        <f>$F87*'Comm Breakdown'!F$22</f>
        <v>581.93605776104744</v>
      </c>
      <c r="K87" s="114">
        <f t="shared" si="45"/>
        <v>19657.905982905984</v>
      </c>
      <c r="L87" s="114">
        <f t="shared" ref="L87:L97" si="47">D39+D51+D63+D75+D87</f>
        <v>2964.949461966984</v>
      </c>
      <c r="M87" s="114">
        <f t="shared" ref="M87:M97" si="48">E39+E51+E63+E75+E87</f>
        <v>1965.7905982905984</v>
      </c>
      <c r="N87" s="114">
        <f t="shared" ref="N87:N97" si="49">F39+F51+F63+F75+F87</f>
        <v>14727.165922648401</v>
      </c>
      <c r="O87" s="114">
        <f t="shared" ref="O87:O97" si="50">G39+G51+G63+G75+G87</f>
        <v>6803.2820796829683</v>
      </c>
      <c r="P87" s="114">
        <f t="shared" ref="P87:P97" si="51">H39+H51+H63+H75+H87</f>
        <v>6140.5846993179184</v>
      </c>
      <c r="Q87" s="114">
        <f t="shared" ref="Q87:Q97" si="52">I39+I51+I63+I75+I87</f>
        <v>1783.2991436475149</v>
      </c>
      <c r="R87" s="114"/>
      <c r="S87" s="1">
        <f t="shared" si="44"/>
        <v>19006.147735148144</v>
      </c>
      <c r="T87" s="1">
        <f t="shared" si="43"/>
        <v>2924.8665413665922</v>
      </c>
      <c r="U87" s="1">
        <f t="shared" si="43"/>
        <v>1900.6147735148149</v>
      </c>
      <c r="V87" s="1">
        <f t="shared" si="43"/>
        <v>14180.643582900269</v>
      </c>
      <c r="W87" s="1">
        <f t="shared" si="43"/>
        <v>6588.2155220484856</v>
      </c>
      <c r="X87" s="1">
        <f t="shared" si="43"/>
        <v>5875.1588623605148</v>
      </c>
      <c r="Y87" s="1">
        <f t="shared" si="43"/>
        <v>1717.2315978488264</v>
      </c>
      <c r="Z87" s="121"/>
    </row>
    <row r="88" spans="1:26" x14ac:dyDescent="0.25">
      <c r="A88" s="32">
        <f t="shared" si="40"/>
        <v>2018</v>
      </c>
      <c r="B88" s="32">
        <f t="shared" si="41"/>
        <v>3</v>
      </c>
      <c r="C88" s="158">
        <f>('2017'!E16-'2017'!E4)+'2018'!E4</f>
        <v>6330.1282051282051</v>
      </c>
      <c r="D88" s="38">
        <f>C88*'Forecasted Targets'!$F$62</f>
        <v>949.51923076923072</v>
      </c>
      <c r="E88" s="38">
        <f>$C88*'Forecasted Targets'!G$62</f>
        <v>633.01282051282055</v>
      </c>
      <c r="F88" s="38">
        <f>$C88*'Forecasted Targets'!H$62</f>
        <v>4747.5961538461543</v>
      </c>
      <c r="G88" s="38">
        <f>$F88*'Comm Breakdown'!D$22</f>
        <v>2170.2533822277869</v>
      </c>
      <c r="H88" s="38">
        <f>$F88*'Comm Breakdown'!E$22</f>
        <v>2003.0637672489131</v>
      </c>
      <c r="I88" s="38">
        <f>$F88*'Comm Breakdown'!F$22</f>
        <v>574.27900436945481</v>
      </c>
      <c r="K88" s="114">
        <f t="shared" si="45"/>
        <v>20079.914529914531</v>
      </c>
      <c r="L88" s="114">
        <f t="shared" si="47"/>
        <v>3036.3825262838091</v>
      </c>
      <c r="M88" s="114">
        <f t="shared" si="48"/>
        <v>2007.9914529914531</v>
      </c>
      <c r="N88" s="114">
        <f t="shared" si="49"/>
        <v>15035.540550639269</v>
      </c>
      <c r="O88" s="114">
        <f t="shared" si="50"/>
        <v>6949.0565341428337</v>
      </c>
      <c r="P88" s="114">
        <f t="shared" si="51"/>
        <v>6265.8802926701828</v>
      </c>
      <c r="Q88" s="114">
        <f t="shared" si="52"/>
        <v>1820.6037238262516</v>
      </c>
      <c r="R88" s="114"/>
      <c r="S88" s="1">
        <f t="shared" si="44"/>
        <v>19483.718503575456</v>
      </c>
      <c r="T88" s="1">
        <f t="shared" si="43"/>
        <v>2996.5366662643087</v>
      </c>
      <c r="U88" s="1">
        <f t="shared" si="43"/>
        <v>1948.3718503575462</v>
      </c>
      <c r="V88" s="1">
        <f t="shared" si="43"/>
        <v>14538.785910733717</v>
      </c>
      <c r="W88" s="1">
        <f t="shared" si="43"/>
        <v>6751.9825035474814</v>
      </c>
      <c r="X88" s="1">
        <f t="shared" si="43"/>
        <v>6026.2095953404632</v>
      </c>
      <c r="Y88" s="1">
        <f t="shared" si="43"/>
        <v>1760.55415936587</v>
      </c>
      <c r="Z88" s="121"/>
    </row>
    <row r="89" spans="1:26" x14ac:dyDescent="0.25">
      <c r="A89" s="32">
        <f t="shared" si="40"/>
        <v>2018</v>
      </c>
      <c r="B89" s="32">
        <f t="shared" si="41"/>
        <v>4</v>
      </c>
      <c r="C89" s="158">
        <f>('2017'!E17-'2017'!E5)+'2018'!E5</f>
        <v>6245.7264957264961</v>
      </c>
      <c r="D89" s="38">
        <f>C89*'Forecasted Targets'!$F$62</f>
        <v>936.85897435897436</v>
      </c>
      <c r="E89" s="38">
        <f>$C89*'Forecasted Targets'!G$62</f>
        <v>624.57264957264965</v>
      </c>
      <c r="F89" s="38">
        <f>$C89*'Forecasted Targets'!H$62</f>
        <v>4684.2948717948721</v>
      </c>
      <c r="G89" s="38">
        <f>$F89*'Comm Breakdown'!D$22</f>
        <v>2141.3166704647497</v>
      </c>
      <c r="H89" s="38">
        <f>$F89*'Comm Breakdown'!E$22</f>
        <v>1976.356250352261</v>
      </c>
      <c r="I89" s="38">
        <f>$F89*'Comm Breakdown'!F$22</f>
        <v>566.62195097786207</v>
      </c>
      <c r="K89" s="114">
        <f t="shared" si="45"/>
        <v>20501.923076923078</v>
      </c>
      <c r="L89" s="114">
        <f t="shared" si="47"/>
        <v>3107.815590600635</v>
      </c>
      <c r="M89" s="114">
        <f t="shared" si="48"/>
        <v>2050.1923076923076</v>
      </c>
      <c r="N89" s="114">
        <f t="shared" si="49"/>
        <v>15343.915178630134</v>
      </c>
      <c r="O89" s="114">
        <f t="shared" si="50"/>
        <v>7094.8309886027</v>
      </c>
      <c r="P89" s="114">
        <f t="shared" si="51"/>
        <v>6391.1758860224481</v>
      </c>
      <c r="Q89" s="114">
        <f t="shared" si="52"/>
        <v>1857.9083040049882</v>
      </c>
      <c r="R89" s="114"/>
      <c r="S89" s="1">
        <f t="shared" si="44"/>
        <v>19973.289275477142</v>
      </c>
      <c r="T89" s="1">
        <f t="shared" si="43"/>
        <v>3069.9629761811389</v>
      </c>
      <c r="U89" s="1">
        <f t="shared" si="43"/>
        <v>1997.328927547715</v>
      </c>
      <c r="V89" s="1">
        <f t="shared" si="43"/>
        <v>14905.973380011988</v>
      </c>
      <c r="W89" s="1">
        <f t="shared" si="43"/>
        <v>6919.8203330840888</v>
      </c>
      <c r="X89" s="1">
        <f t="shared" si="43"/>
        <v>6181.143852914096</v>
      </c>
      <c r="Y89" s="1">
        <f t="shared" si="43"/>
        <v>1804.9696685894135</v>
      </c>
      <c r="Z89" s="121"/>
    </row>
    <row r="90" spans="1:26" x14ac:dyDescent="0.25">
      <c r="A90" s="32">
        <f t="shared" si="40"/>
        <v>2018</v>
      </c>
      <c r="B90" s="32">
        <f t="shared" si="41"/>
        <v>5</v>
      </c>
      <c r="C90" s="158">
        <f>('2017'!E18-'2017'!E6)+'2018'!E6</f>
        <v>6161.3247863247861</v>
      </c>
      <c r="D90" s="38">
        <f>C90*'Forecasted Targets'!$F$62</f>
        <v>924.1987179487179</v>
      </c>
      <c r="E90" s="38">
        <f>$C90*'Forecasted Targets'!G$62</f>
        <v>616.13247863247864</v>
      </c>
      <c r="F90" s="38">
        <f>$C90*'Forecasted Targets'!H$62</f>
        <v>4620.9935897435898</v>
      </c>
      <c r="G90" s="38">
        <f>$F90*'Comm Breakdown'!D$22</f>
        <v>2112.3799587017124</v>
      </c>
      <c r="H90" s="38">
        <f>$F90*'Comm Breakdown'!E$22</f>
        <v>1949.6487334556086</v>
      </c>
      <c r="I90" s="38">
        <f>$F90*'Comm Breakdown'!F$22</f>
        <v>558.96489758626933</v>
      </c>
      <c r="K90" s="114">
        <f t="shared" si="45"/>
        <v>20923.931623931625</v>
      </c>
      <c r="L90" s="114">
        <f t="shared" si="47"/>
        <v>3179.24865491746</v>
      </c>
      <c r="M90" s="114">
        <f t="shared" si="48"/>
        <v>2092.3931623931626</v>
      </c>
      <c r="N90" s="114">
        <f t="shared" si="49"/>
        <v>15652.289806621002</v>
      </c>
      <c r="O90" s="114">
        <f t="shared" si="50"/>
        <v>7240.6054430625645</v>
      </c>
      <c r="P90" s="114">
        <f t="shared" si="51"/>
        <v>6516.4714793747125</v>
      </c>
      <c r="Q90" s="114">
        <f t="shared" si="52"/>
        <v>1895.2128841837243</v>
      </c>
      <c r="R90" s="114"/>
      <c r="S90" s="1">
        <f t="shared" si="44"/>
        <v>20475.161577020433</v>
      </c>
      <c r="T90" s="1">
        <f t="shared" si="43"/>
        <v>3145.1885041915434</v>
      </c>
      <c r="U90" s="1">
        <f t="shared" si="43"/>
        <v>2047.5161577020442</v>
      </c>
      <c r="V90" s="1">
        <f t="shared" si="43"/>
        <v>15282.434432271866</v>
      </c>
      <c r="W90" s="1">
        <f t="shared" si="43"/>
        <v>7091.8302020193114</v>
      </c>
      <c r="X90" s="1">
        <f t="shared" si="43"/>
        <v>6340.0614807622133</v>
      </c>
      <c r="Y90" s="1">
        <f t="shared" si="43"/>
        <v>1850.5056985587073</v>
      </c>
      <c r="Z90" s="121"/>
    </row>
    <row r="91" spans="1:26" x14ac:dyDescent="0.25">
      <c r="A91" s="32">
        <f t="shared" si="40"/>
        <v>2018</v>
      </c>
      <c r="B91" s="32">
        <f t="shared" si="41"/>
        <v>6</v>
      </c>
      <c r="C91" s="158">
        <f>('2017'!E19-'2017'!E7)+'2018'!E7</f>
        <v>6076.9230769230762</v>
      </c>
      <c r="D91" s="38">
        <f>C91*'Forecasted Targets'!$F$62</f>
        <v>911.53846153846143</v>
      </c>
      <c r="E91" s="38">
        <f>$C91*'Forecasted Targets'!G$62</f>
        <v>607.69230769230762</v>
      </c>
      <c r="F91" s="38">
        <f>$C91*'Forecasted Targets'!H$62</f>
        <v>4557.6923076923067</v>
      </c>
      <c r="G91" s="38">
        <f>$F91*'Comm Breakdown'!D$22</f>
        <v>2083.4432469386747</v>
      </c>
      <c r="H91" s="38">
        <f>$F91*'Comm Breakdown'!E$22</f>
        <v>1922.9412165589561</v>
      </c>
      <c r="I91" s="38">
        <f>$F91*'Comm Breakdown'!F$22</f>
        <v>551.30784419467636</v>
      </c>
      <c r="K91" s="114">
        <f t="shared" si="45"/>
        <v>21345.940170940172</v>
      </c>
      <c r="L91" s="114">
        <f t="shared" si="47"/>
        <v>3250.6817192342855</v>
      </c>
      <c r="M91" s="114">
        <f t="shared" si="48"/>
        <v>2134.5940170940171</v>
      </c>
      <c r="N91" s="114">
        <f t="shared" si="49"/>
        <v>15960.664434611868</v>
      </c>
      <c r="O91" s="114">
        <f t="shared" si="50"/>
        <v>7386.3798975224299</v>
      </c>
      <c r="P91" s="114">
        <f t="shared" si="51"/>
        <v>6641.7670727269779</v>
      </c>
      <c r="Q91" s="114">
        <f t="shared" si="52"/>
        <v>1932.5174643624609</v>
      </c>
      <c r="R91" s="114"/>
      <c r="S91" s="1">
        <f t="shared" si="44"/>
        <v>20989.644510872826</v>
      </c>
      <c r="T91" s="1">
        <f t="shared" si="43"/>
        <v>3222.2573378405991</v>
      </c>
      <c r="U91" s="1">
        <f t="shared" si="43"/>
        <v>2098.9644510872836</v>
      </c>
      <c r="V91" s="1">
        <f t="shared" si="43"/>
        <v>15668.40327850504</v>
      </c>
      <c r="W91" s="1">
        <f t="shared" si="43"/>
        <v>7268.1158170847702</v>
      </c>
      <c r="X91" s="1">
        <f t="shared" si="43"/>
        <v>6503.0648916048431</v>
      </c>
      <c r="Y91" s="1">
        <f t="shared" si="43"/>
        <v>1897.1905179295345</v>
      </c>
      <c r="Z91" s="121"/>
    </row>
    <row r="92" spans="1:26" s="127" customFormat="1" x14ac:dyDescent="0.25">
      <c r="A92" s="125">
        <f t="shared" si="40"/>
        <v>2018</v>
      </c>
      <c r="B92" s="125">
        <f t="shared" si="41"/>
        <v>7</v>
      </c>
      <c r="C92" s="158">
        <f>('2017'!E20-'2017'!E8)+'2018'!E8</f>
        <v>5992.5213675213672</v>
      </c>
      <c r="D92" s="126">
        <f>C92*'Forecasted Targets'!$F$62</f>
        <v>898.87820512820508</v>
      </c>
      <c r="E92" s="126">
        <f>$C92*'Forecasted Targets'!G$62</f>
        <v>599.25213675213672</v>
      </c>
      <c r="F92" s="126">
        <f>$C92*'Forecasted Targets'!H$62</f>
        <v>4494.3910256410254</v>
      </c>
      <c r="G92" s="126">
        <f>$F92*'Comm Breakdown'!D$22</f>
        <v>2054.506535175638</v>
      </c>
      <c r="H92" s="126">
        <f>$F92*'Comm Breakdown'!E$22</f>
        <v>1896.2336996623042</v>
      </c>
      <c r="I92" s="126">
        <f>$F92*'Comm Breakdown'!F$22</f>
        <v>543.65079080308374</v>
      </c>
      <c r="K92" s="131">
        <f t="shared" si="45"/>
        <v>21767.948717948719</v>
      </c>
      <c r="L92" s="131">
        <f t="shared" si="47"/>
        <v>3322.114783551111</v>
      </c>
      <c r="M92" s="131">
        <f t="shared" si="48"/>
        <v>2176.7948717948721</v>
      </c>
      <c r="N92" s="131">
        <f t="shared" si="49"/>
        <v>16269.039062602737</v>
      </c>
      <c r="O92" s="131">
        <f t="shared" si="50"/>
        <v>7532.1543519822972</v>
      </c>
      <c r="P92" s="131">
        <f t="shared" si="51"/>
        <v>6767.0626660792432</v>
      </c>
      <c r="Q92" s="131">
        <f t="shared" si="52"/>
        <v>1969.8220445411978</v>
      </c>
      <c r="R92" s="131"/>
      <c r="S92" s="1">
        <f t="shared" si="44"/>
        <v>21517.054946578119</v>
      </c>
      <c r="T92" s="1">
        <f t="shared" si="43"/>
        <v>3301.214644982455</v>
      </c>
      <c r="U92" s="1">
        <f t="shared" si="43"/>
        <v>2151.7054946578128</v>
      </c>
      <c r="V92" s="1">
        <f t="shared" si="43"/>
        <v>16064.12004486984</v>
      </c>
      <c r="W92" s="1">
        <f t="shared" si="43"/>
        <v>7448.7834629086865</v>
      </c>
      <c r="X92" s="1">
        <f t="shared" si="43"/>
        <v>6670.259131199995</v>
      </c>
      <c r="Y92" s="1">
        <f t="shared" si="43"/>
        <v>1945.0531085233222</v>
      </c>
      <c r="Z92" s="129"/>
    </row>
    <row r="93" spans="1:26" x14ac:dyDescent="0.25">
      <c r="A93" s="32">
        <f t="shared" si="40"/>
        <v>2018</v>
      </c>
      <c r="B93" s="32">
        <f t="shared" si="41"/>
        <v>8</v>
      </c>
      <c r="C93" s="158">
        <f>('2017'!E21-'2017'!E9)+'2018'!E9</f>
        <v>5908.1196581196582</v>
      </c>
      <c r="D93" s="38">
        <f>C93*'Forecasted Targets'!$F$62</f>
        <v>886.21794871794873</v>
      </c>
      <c r="E93" s="38">
        <f>$C93*'Forecasted Targets'!G$62</f>
        <v>590.81196581196582</v>
      </c>
      <c r="F93" s="38">
        <f>$C93*'Forecasted Targets'!H$62</f>
        <v>4431.0897435897441</v>
      </c>
      <c r="G93" s="38">
        <f>$F93*'Comm Breakdown'!D$22</f>
        <v>2025.569823412601</v>
      </c>
      <c r="H93" s="38">
        <f>$F93*'Comm Breakdown'!E$22</f>
        <v>1869.5261827656523</v>
      </c>
      <c r="I93" s="38">
        <f>$F93*'Comm Breakdown'!F$22</f>
        <v>535.99373741149111</v>
      </c>
      <c r="K93" s="114">
        <f t="shared" si="45"/>
        <v>22189.957264957266</v>
      </c>
      <c r="L93" s="114">
        <f t="shared" si="47"/>
        <v>3393.5478478679361</v>
      </c>
      <c r="M93" s="114">
        <f t="shared" si="48"/>
        <v>2218.9957264957266</v>
      </c>
      <c r="N93" s="114">
        <f t="shared" si="49"/>
        <v>16577.413690593603</v>
      </c>
      <c r="O93" s="114">
        <f t="shared" si="50"/>
        <v>7677.9288064421617</v>
      </c>
      <c r="P93" s="114">
        <f t="shared" si="51"/>
        <v>6892.3582594315076</v>
      </c>
      <c r="Q93" s="114">
        <f t="shared" si="52"/>
        <v>2007.1266247199342</v>
      </c>
      <c r="R93" s="114"/>
      <c r="S93" s="1">
        <f t="shared" si="44"/>
        <v>22057.717715716059</v>
      </c>
      <c r="T93" s="1">
        <f t="shared" si="43"/>
        <v>3382.1067002519299</v>
      </c>
      <c r="U93" s="1">
        <f t="shared" si="43"/>
        <v>2205.7717715716071</v>
      </c>
      <c r="V93" s="1">
        <f t="shared" si="43"/>
        <v>16469.830922083001</v>
      </c>
      <c r="W93" s="1">
        <f t="shared" si="43"/>
        <v>7633.9420660961096</v>
      </c>
      <c r="X93" s="1">
        <f t="shared" si="43"/>
        <v>6841.7519460392423</v>
      </c>
      <c r="Y93" s="1">
        <f t="shared" si="43"/>
        <v>1994.1231833189856</v>
      </c>
      <c r="Z93" s="121"/>
    </row>
    <row r="94" spans="1:26" s="118" customFormat="1" x14ac:dyDescent="0.25">
      <c r="A94" s="116">
        <f t="shared" si="40"/>
        <v>2018</v>
      </c>
      <c r="B94" s="116">
        <f t="shared" si="41"/>
        <v>9</v>
      </c>
      <c r="C94" s="158">
        <f>('2017'!E22-'2017'!E10)+'2018'!E10</f>
        <v>5823.7179487179492</v>
      </c>
      <c r="D94" s="117">
        <f>C94*'Forecasted Targets'!$F$62</f>
        <v>873.55769230769238</v>
      </c>
      <c r="E94" s="117">
        <f>$C94*'Forecasted Targets'!G$62</f>
        <v>582.37179487179492</v>
      </c>
      <c r="F94" s="117">
        <f>$C94*'Forecasted Targets'!H$62</f>
        <v>4367.7884615384619</v>
      </c>
      <c r="G94" s="117">
        <f>$F94*'Comm Breakdown'!D$22</f>
        <v>1996.6331116495637</v>
      </c>
      <c r="H94" s="117">
        <f>$F94*'Comm Breakdown'!E$22</f>
        <v>1842.8186658690001</v>
      </c>
      <c r="I94" s="117">
        <f>$F94*'Comm Breakdown'!F$22</f>
        <v>528.33668401989837</v>
      </c>
      <c r="K94" s="119">
        <f>C46+C58+C70+C82+C94</f>
        <v>22611.965811965812</v>
      </c>
      <c r="L94" s="119">
        <f t="shared" si="47"/>
        <v>3464.9809121847616</v>
      </c>
      <c r="M94" s="119">
        <f t="shared" si="48"/>
        <v>2261.1965811965815</v>
      </c>
      <c r="N94" s="119">
        <f t="shared" si="49"/>
        <v>16885.788318584469</v>
      </c>
      <c r="O94" s="119">
        <f t="shared" si="50"/>
        <v>7823.703260902028</v>
      </c>
      <c r="P94" s="119">
        <f t="shared" si="51"/>
        <v>7017.653852783772</v>
      </c>
      <c r="Q94" s="119">
        <f t="shared" si="52"/>
        <v>2044.4312048986708</v>
      </c>
      <c r="R94" s="119"/>
      <c r="S94" s="120">
        <f>K94</f>
        <v>22611.965811965812</v>
      </c>
      <c r="T94" s="120">
        <f t="shared" ref="T94:Y94" si="53">L94</f>
        <v>3464.9809121847616</v>
      </c>
      <c r="U94" s="120">
        <f t="shared" si="53"/>
        <v>2261.1965811965815</v>
      </c>
      <c r="V94" s="120">
        <f t="shared" si="53"/>
        <v>16885.788318584469</v>
      </c>
      <c r="W94" s="120">
        <f t="shared" si="53"/>
        <v>7823.703260902028</v>
      </c>
      <c r="X94" s="120">
        <f t="shared" si="53"/>
        <v>7017.653852783772</v>
      </c>
      <c r="Y94" s="120">
        <f t="shared" si="53"/>
        <v>2044.4312048986708</v>
      </c>
      <c r="Z94" s="122"/>
    </row>
    <row r="95" spans="1:26" x14ac:dyDescent="0.25">
      <c r="A95" s="32">
        <f t="shared" si="40"/>
        <v>2018</v>
      </c>
      <c r="B95" s="32">
        <f t="shared" si="41"/>
        <v>10</v>
      </c>
      <c r="C95" s="158">
        <f>('2017'!E23-'2017'!E11)+'2018'!E11</f>
        <v>5739.3162393162393</v>
      </c>
      <c r="D95" s="38">
        <f>C95*'Forecasted Targets'!$F$62</f>
        <v>860.89743589743591</v>
      </c>
      <c r="E95" s="38">
        <f>$C95*'Forecasted Targets'!G$62</f>
        <v>573.9316239316239</v>
      </c>
      <c r="F95" s="38">
        <f>$C95*'Forecasted Targets'!H$62</f>
        <v>4304.4871794871797</v>
      </c>
      <c r="G95" s="38">
        <f>$F95*'Comm Breakdown'!D$22</f>
        <v>1967.6963998865265</v>
      </c>
      <c r="H95" s="38">
        <f>$F95*'Comm Breakdown'!E$22</f>
        <v>1816.1111489723478</v>
      </c>
      <c r="I95" s="38">
        <f>$F95*'Comm Breakdown'!F$22</f>
        <v>520.67963062830563</v>
      </c>
      <c r="K95" s="114">
        <f t="shared" si="45"/>
        <v>23033.974358974359</v>
      </c>
      <c r="L95" s="114">
        <f t="shared" si="47"/>
        <v>3536.4139765015871</v>
      </c>
      <c r="M95" s="114">
        <f t="shared" si="48"/>
        <v>2303.397435897436</v>
      </c>
      <c r="N95" s="114">
        <f t="shared" si="49"/>
        <v>17194.162946575336</v>
      </c>
      <c r="O95" s="114">
        <f t="shared" si="50"/>
        <v>7969.4777153618925</v>
      </c>
      <c r="P95" s="114">
        <f t="shared" si="51"/>
        <v>7142.9494461360373</v>
      </c>
      <c r="Q95" s="114">
        <f t="shared" si="52"/>
        <v>2081.7357850774074</v>
      </c>
      <c r="R95" s="114"/>
      <c r="S95" s="1">
        <f>S94*(S$106/S$94)^(1/12)</f>
        <v>23025.010835122899</v>
      </c>
      <c r="T95" s="1">
        <f t="shared" ref="T95:Y105" si="54">T94*(T$106/T$94)^(1/12)</f>
        <v>3527.0596907365211</v>
      </c>
      <c r="U95" s="1">
        <f t="shared" si="54"/>
        <v>2302.5010835122903</v>
      </c>
      <c r="V95" s="1">
        <f t="shared" si="54"/>
        <v>17195.447292885736</v>
      </c>
      <c r="W95" s="1">
        <f t="shared" si="54"/>
        <v>7964.6148783908557</v>
      </c>
      <c r="X95" s="1">
        <f t="shared" si="54"/>
        <v>7149.03648633186</v>
      </c>
      <c r="Y95" s="1">
        <f t="shared" si="54"/>
        <v>2081.7857736886626</v>
      </c>
      <c r="Z95" s="121"/>
    </row>
    <row r="96" spans="1:26" x14ac:dyDescent="0.25">
      <c r="A96" s="32">
        <f t="shared" si="40"/>
        <v>2018</v>
      </c>
      <c r="B96" s="32">
        <f t="shared" si="41"/>
        <v>11</v>
      </c>
      <c r="C96" s="158">
        <f>('2017'!E24-'2017'!E12)+'2018'!E12</f>
        <v>5654.9145299145302</v>
      </c>
      <c r="D96" s="38">
        <f>C96*'Forecasted Targets'!$F$62</f>
        <v>848.23717948717956</v>
      </c>
      <c r="E96" s="38">
        <f>$C96*'Forecasted Targets'!G$62</f>
        <v>565.491452991453</v>
      </c>
      <c r="F96" s="38">
        <f>$C96*'Forecasted Targets'!H$62</f>
        <v>4241.1858974358975</v>
      </c>
      <c r="G96" s="38">
        <f>$F96*'Comm Breakdown'!D$22</f>
        <v>1938.7596881234892</v>
      </c>
      <c r="H96" s="38">
        <f>$F96*'Comm Breakdown'!E$22</f>
        <v>1789.4036320756957</v>
      </c>
      <c r="I96" s="38">
        <f>$F96*'Comm Breakdown'!F$22</f>
        <v>513.02257723671289</v>
      </c>
      <c r="K96" s="114">
        <f t="shared" si="45"/>
        <v>23455.982905982906</v>
      </c>
      <c r="L96" s="114">
        <f t="shared" si="47"/>
        <v>3607.8470408184126</v>
      </c>
      <c r="M96" s="114">
        <f t="shared" si="48"/>
        <v>2345.598290598291</v>
      </c>
      <c r="N96" s="114">
        <f t="shared" si="49"/>
        <v>17502.537574566202</v>
      </c>
      <c r="O96" s="114">
        <f t="shared" si="50"/>
        <v>8115.252169821757</v>
      </c>
      <c r="P96" s="114">
        <f t="shared" si="51"/>
        <v>7268.2450394883017</v>
      </c>
      <c r="Q96" s="114">
        <f t="shared" si="52"/>
        <v>2119.0403652561436</v>
      </c>
      <c r="R96" s="114"/>
      <c r="S96" s="1">
        <f t="shared" ref="S96:S105" si="55">S95*(S$106/S$94)^(1/12)</f>
        <v>23445.600810035776</v>
      </c>
      <c r="T96" s="1">
        <f t="shared" si="54"/>
        <v>3590.250675919182</v>
      </c>
      <c r="U96" s="1">
        <f t="shared" si="54"/>
        <v>2344.560081003578</v>
      </c>
      <c r="V96" s="1">
        <f t="shared" si="54"/>
        <v>17510.784928944224</v>
      </c>
      <c r="W96" s="1">
        <f t="shared" si="54"/>
        <v>8108.0644351753299</v>
      </c>
      <c r="X96" s="1">
        <f t="shared" si="54"/>
        <v>7282.8788303131132</v>
      </c>
      <c r="Y96" s="1">
        <f t="shared" si="54"/>
        <v>2119.8228618053713</v>
      </c>
      <c r="Z96" s="121"/>
    </row>
    <row r="97" spans="1:26" x14ac:dyDescent="0.25">
      <c r="A97" s="32">
        <f t="shared" si="40"/>
        <v>2018</v>
      </c>
      <c r="B97" s="32">
        <f t="shared" si="41"/>
        <v>12</v>
      </c>
      <c r="C97" s="158">
        <f>('2017'!E25-'2017'!E13)+'2018'!E13</f>
        <v>5570.5128205128203</v>
      </c>
      <c r="D97" s="38">
        <f>C97*'Forecasted Targets'!$F$62</f>
        <v>835.57692307692298</v>
      </c>
      <c r="E97" s="38">
        <f>$C97*'Forecasted Targets'!G$62</f>
        <v>557.0512820512821</v>
      </c>
      <c r="F97" s="38">
        <f>$C97*'Forecasted Targets'!H$62</f>
        <v>4177.8846153846152</v>
      </c>
      <c r="G97" s="38">
        <f>$F97*'Comm Breakdown'!D$22</f>
        <v>1909.822976360452</v>
      </c>
      <c r="H97" s="38">
        <f>$F97*'Comm Breakdown'!E$22</f>
        <v>1762.6961151790433</v>
      </c>
      <c r="I97" s="38">
        <f>$F97*'Comm Breakdown'!F$22</f>
        <v>505.36552384512015</v>
      </c>
      <c r="K97" s="114">
        <f t="shared" si="45"/>
        <v>23877.991452991453</v>
      </c>
      <c r="L97" s="114">
        <f t="shared" si="47"/>
        <v>3679.2801051352376</v>
      </c>
      <c r="M97" s="114">
        <f t="shared" si="48"/>
        <v>2387.7991452991455</v>
      </c>
      <c r="N97" s="114">
        <f t="shared" si="49"/>
        <v>17810.912202557069</v>
      </c>
      <c r="O97" s="114">
        <f t="shared" si="50"/>
        <v>8261.0266242816233</v>
      </c>
      <c r="P97" s="114">
        <f t="shared" si="51"/>
        <v>7393.5406328405661</v>
      </c>
      <c r="Q97" s="114">
        <f t="shared" si="52"/>
        <v>2156.3449454348806</v>
      </c>
      <c r="R97" s="114"/>
      <c r="S97" s="1">
        <f t="shared" si="55"/>
        <v>23873.873557750107</v>
      </c>
      <c r="T97" s="1">
        <f t="shared" si="54"/>
        <v>3654.5737940846907</v>
      </c>
      <c r="U97" s="1">
        <f t="shared" si="54"/>
        <v>2387.3873557750107</v>
      </c>
      <c r="V97" s="1">
        <f t="shared" si="54"/>
        <v>17831.905364543851</v>
      </c>
      <c r="W97" s="1">
        <f t="shared" si="54"/>
        <v>8254.0976417226429</v>
      </c>
      <c r="X97" s="1">
        <f t="shared" si="54"/>
        <v>7419.2269347666543</v>
      </c>
      <c r="Y97" s="1">
        <f t="shared" si="54"/>
        <v>2158.5549398152211</v>
      </c>
      <c r="Z97" s="121"/>
    </row>
    <row r="98" spans="1:26" x14ac:dyDescent="0.25">
      <c r="A98" s="32">
        <f t="shared" si="40"/>
        <v>2019</v>
      </c>
      <c r="B98" s="32">
        <f t="shared" si="41"/>
        <v>1</v>
      </c>
      <c r="C98" s="158">
        <f>('2018'!E14-'2018'!E2)+'2019'!E2</f>
        <v>5486.1111111111104</v>
      </c>
      <c r="D98" s="38">
        <f>C98*'Forecasted Targets'!$F$63</f>
        <v>822.91666666666652</v>
      </c>
      <c r="E98" s="38">
        <f>$C98*'Forecasted Targets'!G$63</f>
        <v>548.61111111111109</v>
      </c>
      <c r="F98" s="38">
        <f>$C98*'Forecasted Targets'!H$63</f>
        <v>4114.583333333333</v>
      </c>
      <c r="G98" s="38">
        <f>$F98*'Comm Breakdown'!D$23</f>
        <v>1868.9192265809395</v>
      </c>
      <c r="H98" s="38">
        <f>$F98*'Comm Breakdown'!E$23</f>
        <v>1749.5033245066636</v>
      </c>
      <c r="I98" s="38">
        <f>$F98*'Comm Breakdown'!F$23</f>
        <v>496.16078224572999</v>
      </c>
      <c r="K98" s="114">
        <f t="shared" ref="K98:K109" si="56">C38+C50+C62+C74+C86+C98</f>
        <v>24722.008547008547</v>
      </c>
      <c r="L98" s="114">
        <f t="shared" ref="L98:L109" si="57">D38+D50+D62+D74+D86+D98</f>
        <v>3716.433064316825</v>
      </c>
      <c r="M98" s="114">
        <f t="shared" ref="M98:M109" si="58">E38+E50+E62+E74+E86+E98</f>
        <v>2472.2008547008545</v>
      </c>
      <c r="N98" s="114">
        <f t="shared" ref="N98:N109" si="59">F38+F50+F62+F74+F86+F98</f>
        <v>18533.374627990866</v>
      </c>
      <c r="O98" s="114">
        <f t="shared" ref="O98:O109" si="60">G38+G50+G62+G74+G86+G98</f>
        <v>8526.4268518040408</v>
      </c>
      <c r="P98" s="114">
        <f t="shared" ref="P98:P109" si="61">H38+H50+H62+H74+H86+H98</f>
        <v>7764.7924304723156</v>
      </c>
      <c r="Q98" s="114">
        <f t="shared" ref="Q98:Q109" si="62">I38+I50+I62+I74+I86+I98</f>
        <v>2242.1553457145083</v>
      </c>
      <c r="R98" s="114"/>
      <c r="S98" s="1">
        <f t="shared" si="55"/>
        <v>24309.969416841315</v>
      </c>
      <c r="T98" s="1">
        <f t="shared" si="54"/>
        <v>3720.0493285865527</v>
      </c>
      <c r="U98" s="1">
        <f t="shared" si="54"/>
        <v>2430.9969416841318</v>
      </c>
      <c r="V98" s="1">
        <f t="shared" si="54"/>
        <v>18158.914647192774</v>
      </c>
      <c r="W98" s="1">
        <f t="shared" si="54"/>
        <v>8402.7610317847757</v>
      </c>
      <c r="X98" s="1">
        <f t="shared" si="54"/>
        <v>7558.12771186809</v>
      </c>
      <c r="Y98" s="1">
        <f t="shared" si="54"/>
        <v>2197.9947061390289</v>
      </c>
      <c r="Z98" s="121"/>
    </row>
    <row r="99" spans="1:26" x14ac:dyDescent="0.25">
      <c r="A99" s="32">
        <f t="shared" si="40"/>
        <v>2019</v>
      </c>
      <c r="B99" s="32">
        <f t="shared" si="41"/>
        <v>2</v>
      </c>
      <c r="C99" s="158">
        <f>('2018'!E15-'2018'!E3)+'2019'!E3</f>
        <v>5486.1111111111104</v>
      </c>
      <c r="D99" s="38">
        <f>C99*'Forecasted Targets'!$F$63</f>
        <v>822.91666666666652</v>
      </c>
      <c r="E99" s="38">
        <f>$C99*'Forecasted Targets'!G$63</f>
        <v>548.61111111111109</v>
      </c>
      <c r="F99" s="38">
        <f>$C99*'Forecasted Targets'!H$63</f>
        <v>4114.583333333333</v>
      </c>
      <c r="G99" s="38">
        <f>$F99*'Comm Breakdown'!D$23</f>
        <v>1868.9192265809395</v>
      </c>
      <c r="H99" s="38">
        <f>$F99*'Comm Breakdown'!E$23</f>
        <v>1749.5033245066636</v>
      </c>
      <c r="I99" s="38">
        <f>$F99*'Comm Breakdown'!F$23</f>
        <v>496.16078224572999</v>
      </c>
      <c r="K99" s="114">
        <f t="shared" si="56"/>
        <v>25144.017094017094</v>
      </c>
      <c r="L99" s="114">
        <f t="shared" si="57"/>
        <v>3787.8661286336505</v>
      </c>
      <c r="M99" s="114">
        <f t="shared" si="58"/>
        <v>2514.4017094017095</v>
      </c>
      <c r="N99" s="114">
        <f t="shared" si="59"/>
        <v>18841.749255981733</v>
      </c>
      <c r="O99" s="114">
        <f t="shared" si="60"/>
        <v>8672.2013062639071</v>
      </c>
      <c r="P99" s="114">
        <f t="shared" si="61"/>
        <v>7890.0880238245818</v>
      </c>
      <c r="Q99" s="114">
        <f t="shared" si="62"/>
        <v>2279.4599258932449</v>
      </c>
      <c r="R99" s="114"/>
      <c r="S99" s="1">
        <f t="shared" si="55"/>
        <v>24754.031289401453</v>
      </c>
      <c r="T99" s="1">
        <f t="shared" si="54"/>
        <v>3786.6979261758929</v>
      </c>
      <c r="U99" s="1">
        <f t="shared" si="54"/>
        <v>2475.4031289401455</v>
      </c>
      <c r="V99" s="1">
        <f t="shared" si="54"/>
        <v>18491.920769144759</v>
      </c>
      <c r="W99" s="1">
        <f t="shared" si="54"/>
        <v>8554.1019772265608</v>
      </c>
      <c r="X99" s="1">
        <f t="shared" si="54"/>
        <v>7699.6289520701994</v>
      </c>
      <c r="Y99" s="1">
        <f t="shared" si="54"/>
        <v>2238.1550912152184</v>
      </c>
      <c r="Z99" s="121"/>
    </row>
    <row r="100" spans="1:26" x14ac:dyDescent="0.25">
      <c r="A100" s="32">
        <f t="shared" si="40"/>
        <v>2019</v>
      </c>
      <c r="B100" s="32">
        <f t="shared" si="41"/>
        <v>3</v>
      </c>
      <c r="C100" s="158">
        <f>('2018'!E16-'2018'!E4)+'2019'!E4</f>
        <v>5486.1111111111095</v>
      </c>
      <c r="D100" s="38">
        <f>C100*'Forecasted Targets'!$F$63</f>
        <v>822.9166666666664</v>
      </c>
      <c r="E100" s="38">
        <f>$C100*'Forecasted Targets'!G$63</f>
        <v>548.61111111111097</v>
      </c>
      <c r="F100" s="38">
        <f>$C100*'Forecasted Targets'!H$63</f>
        <v>4114.5833333333321</v>
      </c>
      <c r="G100" s="38">
        <f>$F100*'Comm Breakdown'!D$23</f>
        <v>1868.919226580939</v>
      </c>
      <c r="H100" s="38">
        <f>$F100*'Comm Breakdown'!E$23</f>
        <v>1749.5033245066631</v>
      </c>
      <c r="I100" s="38">
        <f>$F100*'Comm Breakdown'!F$23</f>
        <v>496.16078224572988</v>
      </c>
      <c r="K100" s="114">
        <f t="shared" si="56"/>
        <v>25566.025641025641</v>
      </c>
      <c r="L100" s="114">
        <f t="shared" si="57"/>
        <v>3859.2991929504756</v>
      </c>
      <c r="M100" s="114">
        <f t="shared" si="58"/>
        <v>2556.602564102564</v>
      </c>
      <c r="N100" s="114">
        <f t="shared" si="59"/>
        <v>19150.123883972599</v>
      </c>
      <c r="O100" s="114">
        <f t="shared" si="60"/>
        <v>8817.9757607237734</v>
      </c>
      <c r="P100" s="114">
        <f t="shared" si="61"/>
        <v>8015.3836171768462</v>
      </c>
      <c r="Q100" s="114">
        <f t="shared" si="62"/>
        <v>2316.7645060719815</v>
      </c>
      <c r="R100" s="114"/>
      <c r="S100" s="1">
        <f t="shared" si="55"/>
        <v>25206.204687866062</v>
      </c>
      <c r="T100" s="1">
        <f t="shared" si="54"/>
        <v>3854.5406035121041</v>
      </c>
      <c r="U100" s="1">
        <f t="shared" si="54"/>
        <v>2520.6204687866061</v>
      </c>
      <c r="V100" s="1">
        <f t="shared" si="54"/>
        <v>18831.033703062771</v>
      </c>
      <c r="W100" s="1">
        <f t="shared" si="54"/>
        <v>8708.1687031208148</v>
      </c>
      <c r="X100" s="1">
        <f t="shared" si="54"/>
        <v>7843.7793405458015</v>
      </c>
      <c r="Y100" s="1">
        <f t="shared" si="54"/>
        <v>2279.0492617390992</v>
      </c>
      <c r="Z100" s="121"/>
    </row>
    <row r="101" spans="1:26" x14ac:dyDescent="0.25">
      <c r="A101" s="32">
        <f t="shared" si="40"/>
        <v>2019</v>
      </c>
      <c r="B101" s="32">
        <f t="shared" si="41"/>
        <v>4</v>
      </c>
      <c r="C101" s="158">
        <f>('2018'!E17-'2018'!E5)+'2019'!E5</f>
        <v>5486.1111111111104</v>
      </c>
      <c r="D101" s="38">
        <f>C101*'Forecasted Targets'!$F$63</f>
        <v>822.91666666666652</v>
      </c>
      <c r="E101" s="38">
        <f>$C101*'Forecasted Targets'!G$63</f>
        <v>548.61111111111109</v>
      </c>
      <c r="F101" s="38">
        <f>$C101*'Forecasted Targets'!H$63</f>
        <v>4114.583333333333</v>
      </c>
      <c r="G101" s="38">
        <f>$F101*'Comm Breakdown'!D$23</f>
        <v>1868.9192265809395</v>
      </c>
      <c r="H101" s="38">
        <f>$F101*'Comm Breakdown'!E$23</f>
        <v>1749.5033245066636</v>
      </c>
      <c r="I101" s="38">
        <f>$F101*'Comm Breakdown'!F$23</f>
        <v>496.16078224572999</v>
      </c>
      <c r="K101" s="114">
        <f t="shared" si="56"/>
        <v>25988.034188034188</v>
      </c>
      <c r="L101" s="114">
        <f t="shared" si="57"/>
        <v>3930.7322572673015</v>
      </c>
      <c r="M101" s="114">
        <f t="shared" si="58"/>
        <v>2598.8034188034189</v>
      </c>
      <c r="N101" s="114">
        <f t="shared" si="59"/>
        <v>19458.498511963466</v>
      </c>
      <c r="O101" s="114">
        <f t="shared" si="60"/>
        <v>8963.7502151836397</v>
      </c>
      <c r="P101" s="114">
        <f t="shared" si="61"/>
        <v>8140.6792105291115</v>
      </c>
      <c r="Q101" s="114">
        <f t="shared" si="62"/>
        <v>2354.0690862507181</v>
      </c>
      <c r="R101" s="114"/>
      <c r="S101" s="1">
        <f t="shared" si="55"/>
        <v>25666.637782696431</v>
      </c>
      <c r="T101" s="1">
        <f t="shared" si="54"/>
        <v>3923.5987537901437</v>
      </c>
      <c r="U101" s="1">
        <f t="shared" si="54"/>
        <v>2566.663778269643</v>
      </c>
      <c r="V101" s="1">
        <f t="shared" si="54"/>
        <v>19176.365438336579</v>
      </c>
      <c r="W101" s="1">
        <f t="shared" si="54"/>
        <v>8865.0103031153503</v>
      </c>
      <c r="X101" s="1">
        <f t="shared" si="54"/>
        <v>7990.6284739384664</v>
      </c>
      <c r="Y101" s="1">
        <f t="shared" si="54"/>
        <v>2320.6906249796066</v>
      </c>
      <c r="Z101" s="121"/>
    </row>
    <row r="102" spans="1:26" x14ac:dyDescent="0.25">
      <c r="A102" s="32">
        <f t="shared" si="40"/>
        <v>2019</v>
      </c>
      <c r="B102" s="32">
        <f t="shared" si="41"/>
        <v>5</v>
      </c>
      <c r="C102" s="158">
        <f>('2018'!E18-'2018'!E6)+'2019'!E6</f>
        <v>5486.1111111111104</v>
      </c>
      <c r="D102" s="38">
        <f>C102*'Forecasted Targets'!$F$63</f>
        <v>822.91666666666652</v>
      </c>
      <c r="E102" s="38">
        <f>$C102*'Forecasted Targets'!G$63</f>
        <v>548.61111111111109</v>
      </c>
      <c r="F102" s="38">
        <f>$C102*'Forecasted Targets'!H$63</f>
        <v>4114.583333333333</v>
      </c>
      <c r="G102" s="38">
        <f>$F102*'Comm Breakdown'!D$23</f>
        <v>1868.9192265809395</v>
      </c>
      <c r="H102" s="38">
        <f>$F102*'Comm Breakdown'!E$23</f>
        <v>1749.5033245066636</v>
      </c>
      <c r="I102" s="38">
        <f>$F102*'Comm Breakdown'!F$23</f>
        <v>496.16078224572999</v>
      </c>
      <c r="K102" s="114">
        <f t="shared" si="56"/>
        <v>26410.042735042734</v>
      </c>
      <c r="L102" s="114">
        <f t="shared" si="57"/>
        <v>4002.1653215841266</v>
      </c>
      <c r="M102" s="114">
        <f t="shared" si="58"/>
        <v>2641.0042735042734</v>
      </c>
      <c r="N102" s="114">
        <f t="shared" si="59"/>
        <v>19766.873139954336</v>
      </c>
      <c r="O102" s="114">
        <f t="shared" si="60"/>
        <v>9109.5246696435042</v>
      </c>
      <c r="P102" s="114">
        <f t="shared" si="61"/>
        <v>8265.9748038813759</v>
      </c>
      <c r="Q102" s="114">
        <f t="shared" si="62"/>
        <v>2391.3736664294543</v>
      </c>
      <c r="R102" s="114"/>
      <c r="S102" s="1">
        <f t="shared" si="55"/>
        <v>26135.481450932846</v>
      </c>
      <c r="T102" s="1">
        <f t="shared" si="54"/>
        <v>3993.8941534865653</v>
      </c>
      <c r="U102" s="1">
        <f t="shared" si="54"/>
        <v>2613.5481450932843</v>
      </c>
      <c r="V102" s="1">
        <f t="shared" si="54"/>
        <v>19528.030018066391</v>
      </c>
      <c r="W102" s="1">
        <f t="shared" si="54"/>
        <v>9024.6767550767563</v>
      </c>
      <c r="X102" s="1">
        <f t="shared" si="54"/>
        <v>8140.2268774268241</v>
      </c>
      <c r="Y102" s="1">
        <f t="shared" si="54"/>
        <v>2363.0928331749105</v>
      </c>
      <c r="Z102" s="121"/>
    </row>
    <row r="103" spans="1:26" x14ac:dyDescent="0.25">
      <c r="A103" s="32">
        <f t="shared" si="40"/>
        <v>2019</v>
      </c>
      <c r="B103" s="32">
        <f t="shared" si="41"/>
        <v>6</v>
      </c>
      <c r="C103" s="158">
        <f>('2018'!E19-'2018'!E7)+'2019'!E7</f>
        <v>5486.1111111111104</v>
      </c>
      <c r="D103" s="38">
        <f>C103*'Forecasted Targets'!$F$63</f>
        <v>822.91666666666652</v>
      </c>
      <c r="E103" s="38">
        <f>$C103*'Forecasted Targets'!G$63</f>
        <v>548.61111111111109</v>
      </c>
      <c r="F103" s="38">
        <f>$C103*'Forecasted Targets'!H$63</f>
        <v>4114.583333333333</v>
      </c>
      <c r="G103" s="38">
        <f>$F103*'Comm Breakdown'!D$23</f>
        <v>1868.9192265809395</v>
      </c>
      <c r="H103" s="38">
        <f>$F103*'Comm Breakdown'!E$23</f>
        <v>1749.5033245066636</v>
      </c>
      <c r="I103" s="38">
        <f>$F103*'Comm Breakdown'!F$23</f>
        <v>496.16078224572999</v>
      </c>
      <c r="K103" s="114">
        <f t="shared" si="56"/>
        <v>26832.051282051281</v>
      </c>
      <c r="L103" s="114">
        <f t="shared" si="57"/>
        <v>4073.5983859009521</v>
      </c>
      <c r="M103" s="114">
        <f t="shared" si="58"/>
        <v>2683.2051282051279</v>
      </c>
      <c r="N103" s="114">
        <f t="shared" si="59"/>
        <v>20075.247767945202</v>
      </c>
      <c r="O103" s="114">
        <f t="shared" si="60"/>
        <v>9255.2991241033687</v>
      </c>
      <c r="P103" s="114">
        <f t="shared" si="61"/>
        <v>8391.2703972336421</v>
      </c>
      <c r="Q103" s="114">
        <f t="shared" si="62"/>
        <v>2428.6782466081909</v>
      </c>
      <c r="R103" s="114"/>
      <c r="S103" s="1">
        <f t="shared" si="55"/>
        <v>26612.889325634729</v>
      </c>
      <c r="T103" s="1">
        <f t="shared" si="54"/>
        <v>4065.4489692264101</v>
      </c>
      <c r="U103" s="1">
        <f t="shared" si="54"/>
        <v>2661.2889325634724</v>
      </c>
      <c r="V103" s="1">
        <f t="shared" si="54"/>
        <v>19886.143576724677</v>
      </c>
      <c r="W103" s="1">
        <f t="shared" si="54"/>
        <v>9187.2189370159358</v>
      </c>
      <c r="X103" s="1">
        <f t="shared" si="54"/>
        <v>8292.6260221083503</v>
      </c>
      <c r="Y103" s="1">
        <f t="shared" si="54"/>
        <v>2406.2697880083424</v>
      </c>
      <c r="Z103" s="121"/>
    </row>
    <row r="104" spans="1:26" s="127" customFormat="1" x14ac:dyDescent="0.25">
      <c r="A104" s="125">
        <f t="shared" si="40"/>
        <v>2019</v>
      </c>
      <c r="B104" s="125">
        <f t="shared" si="41"/>
        <v>7</v>
      </c>
      <c r="C104" s="158">
        <f>('2018'!E20-'2018'!E8)+'2019'!E8</f>
        <v>5486.1111111111104</v>
      </c>
      <c r="D104" s="126">
        <f>C104*'Forecasted Targets'!$F$63</f>
        <v>822.91666666666652</v>
      </c>
      <c r="E104" s="126">
        <f>$C104*'Forecasted Targets'!G$63</f>
        <v>548.61111111111109</v>
      </c>
      <c r="F104" s="126">
        <f>$C104*'Forecasted Targets'!H$63</f>
        <v>4114.583333333333</v>
      </c>
      <c r="G104" s="126">
        <f>$F104*'Comm Breakdown'!D$23</f>
        <v>1868.9192265809395</v>
      </c>
      <c r="H104" s="126">
        <f>$F104*'Comm Breakdown'!E$23</f>
        <v>1749.5033245066636</v>
      </c>
      <c r="I104" s="126">
        <f>$F104*'Comm Breakdown'!F$23</f>
        <v>496.16078224572999</v>
      </c>
      <c r="K104" s="131">
        <f t="shared" si="56"/>
        <v>27254.059829059828</v>
      </c>
      <c r="L104" s="131">
        <f t="shared" si="57"/>
        <v>4145.0314502177771</v>
      </c>
      <c r="M104" s="131">
        <f t="shared" si="58"/>
        <v>2725.4059829059834</v>
      </c>
      <c r="N104" s="131">
        <f t="shared" si="59"/>
        <v>20383.622395936069</v>
      </c>
      <c r="O104" s="131">
        <f t="shared" si="60"/>
        <v>9401.0735785632369</v>
      </c>
      <c r="P104" s="131">
        <f t="shared" si="61"/>
        <v>8516.5659905859065</v>
      </c>
      <c r="Q104" s="131">
        <f t="shared" si="62"/>
        <v>2465.9828267869279</v>
      </c>
      <c r="R104" s="131"/>
      <c r="S104" s="1">
        <f t="shared" si="55"/>
        <v>27099.017846223898</v>
      </c>
      <c r="T104" s="1">
        <f t="shared" si="54"/>
        <v>4138.2857647731289</v>
      </c>
      <c r="U104" s="1">
        <f t="shared" si="54"/>
        <v>2709.9017846223892</v>
      </c>
      <c r="V104" s="1">
        <f t="shared" si="54"/>
        <v>20250.824378508674</v>
      </c>
      <c r="W104" s="1">
        <f t="shared" si="54"/>
        <v>9352.688643300482</v>
      </c>
      <c r="X104" s="1">
        <f t="shared" si="54"/>
        <v>8447.8783427086055</v>
      </c>
      <c r="Y104" s="1">
        <f t="shared" si="54"/>
        <v>2450.2356451660999</v>
      </c>
      <c r="Z104" s="129"/>
    </row>
    <row r="105" spans="1:26" x14ac:dyDescent="0.25">
      <c r="A105" s="32">
        <f t="shared" si="40"/>
        <v>2019</v>
      </c>
      <c r="B105" s="32">
        <f t="shared" si="41"/>
        <v>8</v>
      </c>
      <c r="C105" s="158">
        <f>('2018'!E21-'2018'!E9)+'2019'!E9</f>
        <v>5486.1111111111104</v>
      </c>
      <c r="D105" s="38">
        <f>C105*'Forecasted Targets'!$F$63</f>
        <v>822.91666666666652</v>
      </c>
      <c r="E105" s="38">
        <f>$C105*'Forecasted Targets'!G$63</f>
        <v>548.61111111111109</v>
      </c>
      <c r="F105" s="38">
        <f>$C105*'Forecasted Targets'!H$63</f>
        <v>4114.583333333333</v>
      </c>
      <c r="G105" s="38">
        <f>$F105*'Comm Breakdown'!D$23</f>
        <v>1868.9192265809395</v>
      </c>
      <c r="H105" s="38">
        <f>$F105*'Comm Breakdown'!E$23</f>
        <v>1749.5033245066636</v>
      </c>
      <c r="I105" s="38">
        <f>$F105*'Comm Breakdown'!F$23</f>
        <v>496.16078224572999</v>
      </c>
      <c r="K105" s="114">
        <f t="shared" si="56"/>
        <v>27676.068376068375</v>
      </c>
      <c r="L105" s="114">
        <f t="shared" si="57"/>
        <v>4216.4645145346021</v>
      </c>
      <c r="M105" s="114">
        <f t="shared" si="58"/>
        <v>2767.6068376068379</v>
      </c>
      <c r="N105" s="114">
        <f t="shared" si="59"/>
        <v>20691.997023926935</v>
      </c>
      <c r="O105" s="114">
        <f t="shared" si="60"/>
        <v>9546.8480330231014</v>
      </c>
      <c r="P105" s="114">
        <f t="shared" si="61"/>
        <v>8641.861583938171</v>
      </c>
      <c r="Q105" s="114">
        <f t="shared" si="62"/>
        <v>2503.2874069656641</v>
      </c>
      <c r="R105" s="114"/>
      <c r="S105" s="1">
        <f t="shared" si="55"/>
        <v>27594.026309747434</v>
      </c>
      <c r="T105" s="1">
        <f t="shared" si="54"/>
        <v>4212.4275081437345</v>
      </c>
      <c r="U105" s="1">
        <f t="shared" si="54"/>
        <v>2759.4026309747428</v>
      </c>
      <c r="V105" s="1">
        <f t="shared" si="54"/>
        <v>20622.192856396225</v>
      </c>
      <c r="W105" s="1">
        <f t="shared" si="54"/>
        <v>9521.1386011590475</v>
      </c>
      <c r="X105" s="1">
        <f t="shared" si="54"/>
        <v>8606.0372556220191</v>
      </c>
      <c r="Y105" s="1">
        <f t="shared" si="54"/>
        <v>2495.0048189782278</v>
      </c>
      <c r="Z105" s="121"/>
    </row>
    <row r="106" spans="1:26" s="118" customFormat="1" x14ac:dyDescent="0.25">
      <c r="A106" s="116">
        <f t="shared" si="40"/>
        <v>2019</v>
      </c>
      <c r="B106" s="116">
        <f t="shared" si="41"/>
        <v>9</v>
      </c>
      <c r="C106" s="158">
        <f>('2018'!E22-'2018'!E10)+'2019'!E10</f>
        <v>5486.1111111111104</v>
      </c>
      <c r="D106" s="117">
        <f>C106*'Forecasted Targets'!$F$63</f>
        <v>822.91666666666652</v>
      </c>
      <c r="E106" s="117">
        <f>$C106*'Forecasted Targets'!G$63</f>
        <v>548.61111111111109</v>
      </c>
      <c r="F106" s="117">
        <f>$C106*'Forecasted Targets'!H$63</f>
        <v>4114.583333333333</v>
      </c>
      <c r="G106" s="117">
        <f>$F106*'Comm Breakdown'!D$23</f>
        <v>1868.9192265809395</v>
      </c>
      <c r="H106" s="117">
        <f>$F106*'Comm Breakdown'!E$23</f>
        <v>1749.5033245066636</v>
      </c>
      <c r="I106" s="117">
        <f>$F106*'Comm Breakdown'!F$23</f>
        <v>496.16078224572999</v>
      </c>
      <c r="K106" s="119">
        <f>C46+C58+C70+C82+C94+C106</f>
        <v>28098.076923076922</v>
      </c>
      <c r="L106" s="119">
        <f t="shared" si="57"/>
        <v>4287.8975788514281</v>
      </c>
      <c r="M106" s="119">
        <f t="shared" si="58"/>
        <v>2809.8076923076924</v>
      </c>
      <c r="N106" s="119">
        <f t="shared" si="59"/>
        <v>21000.371651917802</v>
      </c>
      <c r="O106" s="119">
        <f t="shared" si="60"/>
        <v>9692.6224874829677</v>
      </c>
      <c r="P106" s="119">
        <f t="shared" si="61"/>
        <v>8767.1571772904354</v>
      </c>
      <c r="Q106" s="119">
        <f t="shared" si="62"/>
        <v>2540.5919871444007</v>
      </c>
      <c r="R106" s="119"/>
      <c r="S106" s="120">
        <f>K106</f>
        <v>28098.076923076922</v>
      </c>
      <c r="T106" s="120">
        <f t="shared" ref="T106:Y106" si="63">L106</f>
        <v>4287.8975788514281</v>
      </c>
      <c r="U106" s="120">
        <f t="shared" si="63"/>
        <v>2809.8076923076924</v>
      </c>
      <c r="V106" s="120">
        <f t="shared" si="63"/>
        <v>21000.371651917802</v>
      </c>
      <c r="W106" s="120">
        <f t="shared" si="63"/>
        <v>9692.6224874829677</v>
      </c>
      <c r="X106" s="120">
        <f t="shared" si="63"/>
        <v>8767.1571772904354</v>
      </c>
      <c r="Y106" s="120">
        <f t="shared" si="63"/>
        <v>2540.5919871444007</v>
      </c>
      <c r="Z106" s="122"/>
    </row>
    <row r="107" spans="1:26" x14ac:dyDescent="0.25">
      <c r="A107" s="32">
        <f t="shared" si="40"/>
        <v>2019</v>
      </c>
      <c r="B107" s="32">
        <f t="shared" si="41"/>
        <v>10</v>
      </c>
      <c r="C107" s="158">
        <f>('2018'!E23-'2018'!E11)+'2019'!E11</f>
        <v>5486.1111111111104</v>
      </c>
      <c r="D107" s="38">
        <f>C107*'Forecasted Targets'!$F$63</f>
        <v>822.91666666666652</v>
      </c>
      <c r="E107" s="38">
        <f>$C107*'Forecasted Targets'!G$63</f>
        <v>548.61111111111109</v>
      </c>
      <c r="F107" s="38">
        <f>$C107*'Forecasted Targets'!H$63</f>
        <v>4114.583333333333</v>
      </c>
      <c r="G107" s="38">
        <f>$F107*'Comm Breakdown'!D$23</f>
        <v>1868.9192265809395</v>
      </c>
      <c r="H107" s="38">
        <f>$F107*'Comm Breakdown'!E$23</f>
        <v>1749.5033245066636</v>
      </c>
      <c r="I107" s="38">
        <f>$F107*'Comm Breakdown'!F$23</f>
        <v>496.16078224572999</v>
      </c>
      <c r="K107" s="114">
        <f t="shared" si="56"/>
        <v>28520.085470085469</v>
      </c>
      <c r="L107" s="114">
        <f t="shared" si="57"/>
        <v>4359.330643168254</v>
      </c>
      <c r="M107" s="114">
        <f t="shared" si="58"/>
        <v>2852.0085470085469</v>
      </c>
      <c r="N107" s="114">
        <f t="shared" si="59"/>
        <v>21308.746279908668</v>
      </c>
      <c r="O107" s="114">
        <f t="shared" si="60"/>
        <v>9838.3969419428322</v>
      </c>
      <c r="P107" s="114">
        <f t="shared" si="61"/>
        <v>8892.4527706427016</v>
      </c>
      <c r="Q107" s="114">
        <f t="shared" si="62"/>
        <v>2577.8965673231373</v>
      </c>
      <c r="R107" s="114"/>
      <c r="S107" s="1">
        <f>S106*(S$118/S$106)^(1/12)</f>
        <v>28518.813410855593</v>
      </c>
      <c r="T107" s="1">
        <f t="shared" ref="T107:Y117" si="64">T106*(T$118/T$106)^(1/12)</f>
        <v>4351.0914472698769</v>
      </c>
      <c r="U107" s="1">
        <f t="shared" si="64"/>
        <v>2851.8813410855596</v>
      </c>
      <c r="V107" s="1">
        <f t="shared" si="64"/>
        <v>21315.839064256725</v>
      </c>
      <c r="W107" s="1">
        <f t="shared" si="64"/>
        <v>9835.4657139090741</v>
      </c>
      <c r="X107" s="1">
        <f t="shared" si="64"/>
        <v>8901.8762684573339</v>
      </c>
      <c r="Y107" s="1">
        <f t="shared" si="64"/>
        <v>2578.4870351626437</v>
      </c>
      <c r="Z107" s="121"/>
    </row>
    <row r="108" spans="1:26" x14ac:dyDescent="0.25">
      <c r="A108" s="32">
        <f t="shared" si="40"/>
        <v>2019</v>
      </c>
      <c r="B108" s="32">
        <f t="shared" si="41"/>
        <v>11</v>
      </c>
      <c r="C108" s="158">
        <f>('2018'!E24-'2018'!E12)+'2019'!E12</f>
        <v>5486.1111111111104</v>
      </c>
      <c r="D108" s="38">
        <f>C108*'Forecasted Targets'!$F$63</f>
        <v>822.91666666666652</v>
      </c>
      <c r="E108" s="38">
        <f>$C108*'Forecasted Targets'!G$63</f>
        <v>548.61111111111109</v>
      </c>
      <c r="F108" s="38">
        <f>$C108*'Forecasted Targets'!H$63</f>
        <v>4114.583333333333</v>
      </c>
      <c r="G108" s="38">
        <f>$F108*'Comm Breakdown'!D$23</f>
        <v>1868.9192265809395</v>
      </c>
      <c r="H108" s="38">
        <f>$F108*'Comm Breakdown'!E$23</f>
        <v>1749.5033245066636</v>
      </c>
      <c r="I108" s="38">
        <f>$F108*'Comm Breakdown'!F$23</f>
        <v>496.16078224572999</v>
      </c>
      <c r="K108" s="114">
        <f t="shared" si="56"/>
        <v>28942.094017094016</v>
      </c>
      <c r="L108" s="114">
        <f t="shared" si="57"/>
        <v>4430.7637074850791</v>
      </c>
      <c r="M108" s="114">
        <f t="shared" si="58"/>
        <v>2894.2094017094023</v>
      </c>
      <c r="N108" s="114">
        <f t="shared" si="59"/>
        <v>21617.120907899534</v>
      </c>
      <c r="O108" s="114">
        <f t="shared" si="60"/>
        <v>9984.1713964026967</v>
      </c>
      <c r="P108" s="114">
        <f t="shared" si="61"/>
        <v>9017.748363994966</v>
      </c>
      <c r="Q108" s="114">
        <f t="shared" si="62"/>
        <v>2615.2011475018735</v>
      </c>
      <c r="R108" s="114"/>
      <c r="S108" s="1">
        <f t="shared" ref="S108:S117" si="65">S107*(S$118/S$106)^(1/12)</f>
        <v>28945.849945168873</v>
      </c>
      <c r="T108" s="1">
        <f t="shared" si="64"/>
        <v>4415.216649735431</v>
      </c>
      <c r="U108" s="1">
        <f t="shared" si="64"/>
        <v>2894.5849945168875</v>
      </c>
      <c r="V108" s="1">
        <f t="shared" si="64"/>
        <v>21636.045425500808</v>
      </c>
      <c r="W108" s="1">
        <f t="shared" si="64"/>
        <v>9980.4140658945616</v>
      </c>
      <c r="X108" s="1">
        <f t="shared" si="64"/>
        <v>9038.6654985709665</v>
      </c>
      <c r="Y108" s="1">
        <f t="shared" si="64"/>
        <v>2616.9473194217198</v>
      </c>
      <c r="Z108" s="121"/>
    </row>
    <row r="109" spans="1:26" x14ac:dyDescent="0.25">
      <c r="A109" s="32">
        <f t="shared" si="40"/>
        <v>2019</v>
      </c>
      <c r="B109" s="32">
        <f t="shared" si="41"/>
        <v>12</v>
      </c>
      <c r="C109" s="158">
        <f>('2018'!E25-'2018'!E13)+'2019'!E13</f>
        <v>5486.1111111111104</v>
      </c>
      <c r="D109" s="38">
        <f>C109*'Forecasted Targets'!$F$63</f>
        <v>822.91666666666652</v>
      </c>
      <c r="E109" s="38">
        <f>$C109*'Forecasted Targets'!G$63</f>
        <v>548.61111111111109</v>
      </c>
      <c r="F109" s="38">
        <f>$C109*'Forecasted Targets'!H$63</f>
        <v>4114.583333333333</v>
      </c>
      <c r="G109" s="38">
        <f>$F109*'Comm Breakdown'!D$23</f>
        <v>1868.9192265809395</v>
      </c>
      <c r="H109" s="38">
        <f>$F109*'Comm Breakdown'!E$23</f>
        <v>1749.5033245066636</v>
      </c>
      <c r="I109" s="38">
        <f>$F109*'Comm Breakdown'!F$23</f>
        <v>496.16078224572999</v>
      </c>
      <c r="K109" s="114">
        <f t="shared" si="56"/>
        <v>29364.102564102563</v>
      </c>
      <c r="L109" s="114">
        <f t="shared" si="57"/>
        <v>4502.1967718019041</v>
      </c>
      <c r="M109" s="114">
        <f t="shared" si="58"/>
        <v>2936.4102564102568</v>
      </c>
      <c r="N109" s="114">
        <f t="shared" si="59"/>
        <v>21925.495535890401</v>
      </c>
      <c r="O109" s="114">
        <f t="shared" si="60"/>
        <v>10129.945850862563</v>
      </c>
      <c r="P109" s="114">
        <f t="shared" si="61"/>
        <v>9143.0439573472304</v>
      </c>
      <c r="Q109" s="114">
        <f t="shared" si="62"/>
        <v>2652.5057276806106</v>
      </c>
      <c r="R109" s="114"/>
      <c r="S109" s="1">
        <f t="shared" si="65"/>
        <v>29379.280861990679</v>
      </c>
      <c r="T109" s="1">
        <f t="shared" si="64"/>
        <v>4480.2869119960005</v>
      </c>
      <c r="U109" s="1">
        <f t="shared" si="64"/>
        <v>2937.9280861990678</v>
      </c>
      <c r="V109" s="1">
        <f t="shared" si="64"/>
        <v>21961.061924102003</v>
      </c>
      <c r="W109" s="1">
        <f t="shared" si="64"/>
        <v>10127.498567336967</v>
      </c>
      <c r="X109" s="1">
        <f t="shared" si="64"/>
        <v>9177.5566780838926</v>
      </c>
      <c r="Y109" s="1">
        <f t="shared" si="64"/>
        <v>2655.9812708914965</v>
      </c>
      <c r="Z109" s="121"/>
    </row>
    <row r="110" spans="1:26" x14ac:dyDescent="0.25">
      <c r="A110" s="32">
        <f t="shared" si="40"/>
        <v>2020</v>
      </c>
      <c r="B110" s="32">
        <f t="shared" si="41"/>
        <v>1</v>
      </c>
      <c r="C110" s="158">
        <f>('2019'!E14-'2019'!E2)+'2020'!E2</f>
        <v>5486.1111111111104</v>
      </c>
      <c r="D110" s="38">
        <f>C110*'Forecasted Targets'!$F$64</f>
        <v>822.91666666666652</v>
      </c>
      <c r="E110" s="38">
        <f>$C110*'Forecasted Targets'!G$64</f>
        <v>548.61111111111109</v>
      </c>
      <c r="F110" s="38">
        <f>$C110*'Forecasted Targets'!H$64</f>
        <v>4114.583333333333</v>
      </c>
      <c r="G110" s="38">
        <f>$F110*'Comm Breakdown'!D$24</f>
        <v>1860.114009359221</v>
      </c>
      <c r="H110" s="38">
        <f>$F110*'Comm Breakdown'!E$24</f>
        <v>1760.5045820197331</v>
      </c>
      <c r="I110" s="38">
        <f>$F110*'Comm Breakdown'!F$24</f>
        <v>493.96474195437946</v>
      </c>
      <c r="K110" s="114">
        <f>C38+C50+C62+C74+C86+C98+C110</f>
        <v>30208.119658119656</v>
      </c>
      <c r="L110" s="114">
        <f t="shared" ref="L110:Q110" si="66">D38+D50+D62+D74+D86+D98+D110</f>
        <v>4539.3497309834911</v>
      </c>
      <c r="M110" s="114">
        <f t="shared" si="66"/>
        <v>3020.8119658119658</v>
      </c>
      <c r="N110" s="114">
        <f t="shared" si="66"/>
        <v>22647.957961324199</v>
      </c>
      <c r="O110" s="114">
        <f t="shared" si="66"/>
        <v>10386.540861163261</v>
      </c>
      <c r="P110" s="114">
        <f t="shared" si="66"/>
        <v>9525.2970124920485</v>
      </c>
      <c r="Q110" s="114">
        <f t="shared" si="66"/>
        <v>2736.1200876688877</v>
      </c>
      <c r="R110" s="114"/>
      <c r="S110" s="1">
        <f t="shared" si="65"/>
        <v>29819.201909867985</v>
      </c>
      <c r="T110" s="1">
        <f t="shared" si="64"/>
        <v>4546.3161620858336</v>
      </c>
      <c r="U110" s="1">
        <f t="shared" si="64"/>
        <v>2981.9201909867984</v>
      </c>
      <c r="V110" s="1">
        <f t="shared" si="64"/>
        <v>22290.960817904608</v>
      </c>
      <c r="W110" s="1">
        <f t="shared" si="64"/>
        <v>10276.750699342765</v>
      </c>
      <c r="X110" s="1">
        <f t="shared" si="64"/>
        <v>9318.5821062588093</v>
      </c>
      <c r="Y110" s="1">
        <f t="shared" si="64"/>
        <v>2695.5974462967865</v>
      </c>
      <c r="Z110" s="121"/>
    </row>
    <row r="111" spans="1:26" x14ac:dyDescent="0.25">
      <c r="A111" s="32">
        <f t="shared" si="40"/>
        <v>2020</v>
      </c>
      <c r="B111" s="32">
        <f t="shared" si="41"/>
        <v>2</v>
      </c>
      <c r="C111" s="158">
        <f>('2019'!E15-'2019'!E3)+'2020'!E3</f>
        <v>5486.1111111111104</v>
      </c>
      <c r="D111" s="38">
        <f>C111*'Forecasted Targets'!$F$64</f>
        <v>822.91666666666652</v>
      </c>
      <c r="E111" s="38">
        <f>$C111*'Forecasted Targets'!G$64</f>
        <v>548.61111111111109</v>
      </c>
      <c r="F111" s="38">
        <f>$C111*'Forecasted Targets'!H$64</f>
        <v>4114.583333333333</v>
      </c>
      <c r="G111" s="38">
        <f>$F111*'Comm Breakdown'!D$24</f>
        <v>1860.114009359221</v>
      </c>
      <c r="H111" s="38">
        <f>$F111*'Comm Breakdown'!E$24</f>
        <v>1760.5045820197331</v>
      </c>
      <c r="I111" s="38">
        <f>$F111*'Comm Breakdown'!F$24</f>
        <v>493.96474195437946</v>
      </c>
      <c r="K111" s="114">
        <f t="shared" ref="K111:K120" si="67">C39+C51+C63+C75+C87+C99+C111</f>
        <v>30630.128205128203</v>
      </c>
      <c r="L111" s="114">
        <f t="shared" ref="L111:L121" si="68">D39+D51+D63+D75+D87+D99+D111</f>
        <v>4610.782795300317</v>
      </c>
      <c r="M111" s="114">
        <f t="shared" ref="M111:M121" si="69">E39+E51+E63+E75+E87+E99+E111</f>
        <v>3063.0128205128203</v>
      </c>
      <c r="N111" s="114">
        <f t="shared" ref="N111:N121" si="70">F39+F51+F63+F75+F87+F99+F111</f>
        <v>22956.332589315065</v>
      </c>
      <c r="O111" s="114">
        <f t="shared" ref="O111:O121" si="71">G39+G51+G63+G75+G87+G99+G111</f>
        <v>10532.315315623127</v>
      </c>
      <c r="P111" s="114">
        <f t="shared" ref="P111:P121" si="72">H39+H51+H63+H75+H87+H99+H111</f>
        <v>9650.5926058443147</v>
      </c>
      <c r="Q111" s="114">
        <f t="shared" ref="Q111:Q121" si="73">I39+I51+I63+I75+I87+I99+I111</f>
        <v>2773.4246678476243</v>
      </c>
      <c r="R111" s="114"/>
      <c r="S111" s="1">
        <f t="shared" si="65"/>
        <v>30265.710271072479</v>
      </c>
      <c r="T111" s="1">
        <f t="shared" si="64"/>
        <v>4613.3185333067604</v>
      </c>
      <c r="U111" s="1">
        <f t="shared" si="64"/>
        <v>3026.571027107248</v>
      </c>
      <c r="V111" s="1">
        <f t="shared" si="64"/>
        <v>22625.815450209673</v>
      </c>
      <c r="W111" s="1">
        <f t="shared" si="64"/>
        <v>10428.202406965402</v>
      </c>
      <c r="X111" s="1">
        <f t="shared" si="64"/>
        <v>9461.7745786797623</v>
      </c>
      <c r="Y111" s="1">
        <f t="shared" si="64"/>
        <v>2735.8045299930886</v>
      </c>
      <c r="Z111" s="121"/>
    </row>
    <row r="112" spans="1:26" x14ac:dyDescent="0.25">
      <c r="A112" s="32">
        <f t="shared" si="40"/>
        <v>2020</v>
      </c>
      <c r="B112" s="32">
        <f t="shared" si="41"/>
        <v>3</v>
      </c>
      <c r="C112" s="158">
        <f>('2019'!E16-'2019'!E4)+'2020'!E4</f>
        <v>5486.1111111111095</v>
      </c>
      <c r="D112" s="38">
        <f>C112*'Forecasted Targets'!$F$64</f>
        <v>822.9166666666664</v>
      </c>
      <c r="E112" s="38">
        <f>$C112*'Forecasted Targets'!G$64</f>
        <v>548.61111111111097</v>
      </c>
      <c r="F112" s="38">
        <f>$C112*'Forecasted Targets'!H$64</f>
        <v>4114.5833333333321</v>
      </c>
      <c r="G112" s="38">
        <f>$F112*'Comm Breakdown'!D$24</f>
        <v>1860.1140093592205</v>
      </c>
      <c r="H112" s="38">
        <f>$F112*'Comm Breakdown'!E$24</f>
        <v>1760.5045820197327</v>
      </c>
      <c r="I112" s="38">
        <f>$F112*'Comm Breakdown'!F$24</f>
        <v>493.96474195437935</v>
      </c>
      <c r="K112" s="114">
        <f t="shared" si="67"/>
        <v>31052.13675213675</v>
      </c>
      <c r="L112" s="114">
        <f t="shared" si="68"/>
        <v>4682.2158596171421</v>
      </c>
      <c r="M112" s="114">
        <f t="shared" si="69"/>
        <v>3105.2136752136748</v>
      </c>
      <c r="N112" s="114">
        <f t="shared" si="70"/>
        <v>23264.707217305931</v>
      </c>
      <c r="O112" s="114">
        <f t="shared" si="71"/>
        <v>10678.089770082994</v>
      </c>
      <c r="P112" s="114">
        <f t="shared" si="72"/>
        <v>9775.8881991965791</v>
      </c>
      <c r="Q112" s="114">
        <f t="shared" si="73"/>
        <v>2810.7292480263609</v>
      </c>
      <c r="R112" s="114"/>
      <c r="S112" s="1">
        <f t="shared" si="65"/>
        <v>30718.904583068954</v>
      </c>
      <c r="T112" s="1">
        <f t="shared" si="64"/>
        <v>4681.3083672533694</v>
      </c>
      <c r="U112" s="1">
        <f t="shared" si="64"/>
        <v>3071.8904583068957</v>
      </c>
      <c r="V112" s="1">
        <f t="shared" si="64"/>
        <v>22965.700266080719</v>
      </c>
      <c r="W112" s="1">
        <f t="shared" si="64"/>
        <v>10581.886106042622</v>
      </c>
      <c r="X112" s="1">
        <f t="shared" si="64"/>
        <v>9607.1673948787939</v>
      </c>
      <c r="Y112" s="1">
        <f t="shared" si="64"/>
        <v>2776.6113358703055</v>
      </c>
      <c r="Z112" s="121"/>
    </row>
    <row r="113" spans="1:26" x14ac:dyDescent="0.25">
      <c r="A113" s="32">
        <f t="shared" si="40"/>
        <v>2020</v>
      </c>
      <c r="B113" s="32">
        <f t="shared" si="41"/>
        <v>4</v>
      </c>
      <c r="C113" s="158">
        <f>('2019'!E17-'2019'!E5)+'2020'!E5</f>
        <v>5486.1111111111104</v>
      </c>
      <c r="D113" s="38">
        <f>C113*'Forecasted Targets'!$F$64</f>
        <v>822.91666666666652</v>
      </c>
      <c r="E113" s="38">
        <f>$C113*'Forecasted Targets'!G$64</f>
        <v>548.61111111111109</v>
      </c>
      <c r="F113" s="38">
        <f>$C113*'Forecasted Targets'!H$64</f>
        <v>4114.583333333333</v>
      </c>
      <c r="G113" s="38">
        <f>$F113*'Comm Breakdown'!D$24</f>
        <v>1860.114009359221</v>
      </c>
      <c r="H113" s="38">
        <f>$F113*'Comm Breakdown'!E$24</f>
        <v>1760.5045820197331</v>
      </c>
      <c r="I113" s="38">
        <f>$F113*'Comm Breakdown'!F$24</f>
        <v>493.96474195437946</v>
      </c>
      <c r="K113" s="114">
        <f t="shared" si="67"/>
        <v>31474.145299145297</v>
      </c>
      <c r="L113" s="114">
        <f t="shared" si="68"/>
        <v>4753.648923933968</v>
      </c>
      <c r="M113" s="114">
        <f t="shared" si="69"/>
        <v>3147.4145299145302</v>
      </c>
      <c r="N113" s="114">
        <f t="shared" si="70"/>
        <v>23573.081845296798</v>
      </c>
      <c r="O113" s="114">
        <f t="shared" si="71"/>
        <v>10823.86422454286</v>
      </c>
      <c r="P113" s="114">
        <f t="shared" si="72"/>
        <v>9901.1837925488453</v>
      </c>
      <c r="Q113" s="114">
        <f t="shared" si="73"/>
        <v>2848.0338282050975</v>
      </c>
      <c r="R113" s="114"/>
      <c r="S113" s="1">
        <f t="shared" si="65"/>
        <v>31178.884960305149</v>
      </c>
      <c r="T113" s="1">
        <f t="shared" si="64"/>
        <v>4750.3002168827707</v>
      </c>
      <c r="U113" s="1">
        <f t="shared" si="64"/>
        <v>3117.8884960305154</v>
      </c>
      <c r="V113" s="1">
        <f t="shared" si="64"/>
        <v>23310.690828894407</v>
      </c>
      <c r="W113" s="1">
        <f t="shared" si="64"/>
        <v>10737.834690134569</v>
      </c>
      <c r="X113" s="1">
        <f t="shared" si="64"/>
        <v>9754.7943660797755</v>
      </c>
      <c r="Y113" s="1">
        <f t="shared" si="64"/>
        <v>2818.0268092848573</v>
      </c>
      <c r="Z113" s="121"/>
    </row>
    <row r="114" spans="1:26" x14ac:dyDescent="0.25">
      <c r="A114" s="32">
        <f t="shared" si="40"/>
        <v>2020</v>
      </c>
      <c r="B114" s="32">
        <f t="shared" si="41"/>
        <v>5</v>
      </c>
      <c r="C114" s="158">
        <f>('2019'!E18-'2019'!E6)+'2020'!E6</f>
        <v>5486.1111111111104</v>
      </c>
      <c r="D114" s="38">
        <f>C114*'Forecasted Targets'!$F$64</f>
        <v>822.91666666666652</v>
      </c>
      <c r="E114" s="38">
        <f>$C114*'Forecasted Targets'!G$64</f>
        <v>548.61111111111109</v>
      </c>
      <c r="F114" s="38">
        <f>$C114*'Forecasted Targets'!H$64</f>
        <v>4114.583333333333</v>
      </c>
      <c r="G114" s="38">
        <f>$F114*'Comm Breakdown'!D$24</f>
        <v>1860.114009359221</v>
      </c>
      <c r="H114" s="38">
        <f>$F114*'Comm Breakdown'!E$24</f>
        <v>1760.5045820197331</v>
      </c>
      <c r="I114" s="38">
        <f>$F114*'Comm Breakdown'!F$24</f>
        <v>493.96474195437946</v>
      </c>
      <c r="K114" s="114">
        <f t="shared" si="67"/>
        <v>31896.153846153844</v>
      </c>
      <c r="L114" s="114">
        <f t="shared" si="68"/>
        <v>4825.0819882507931</v>
      </c>
      <c r="M114" s="114">
        <f t="shared" si="69"/>
        <v>3189.6153846153848</v>
      </c>
      <c r="N114" s="114">
        <f t="shared" si="70"/>
        <v>23881.456473287668</v>
      </c>
      <c r="O114" s="114">
        <f t="shared" si="71"/>
        <v>10969.638679002725</v>
      </c>
      <c r="P114" s="114">
        <f t="shared" si="72"/>
        <v>10026.47938590111</v>
      </c>
      <c r="Q114" s="114">
        <f t="shared" si="73"/>
        <v>2885.3384083838337</v>
      </c>
      <c r="R114" s="114"/>
      <c r="S114" s="1">
        <f t="shared" si="65"/>
        <v>31645.753016327879</v>
      </c>
      <c r="T114" s="1">
        <f t="shared" si="64"/>
        <v>4820.3088496295977</v>
      </c>
      <c r="U114" s="1">
        <f t="shared" si="64"/>
        <v>3164.5753016327885</v>
      </c>
      <c r="V114" s="1">
        <f t="shared" si="64"/>
        <v>23660.86383713983</v>
      </c>
      <c r="W114" s="1">
        <f t="shared" si="64"/>
        <v>10896.081537564123</v>
      </c>
      <c r="X114" s="1">
        <f t="shared" si="64"/>
        <v>9904.6898230612387</v>
      </c>
      <c r="Y114" s="1">
        <f t="shared" si="64"/>
        <v>2860.0600290206148</v>
      </c>
      <c r="Z114" s="121"/>
    </row>
    <row r="115" spans="1:26" x14ac:dyDescent="0.25">
      <c r="A115" s="32">
        <f t="shared" si="40"/>
        <v>2020</v>
      </c>
      <c r="B115" s="32">
        <f t="shared" si="41"/>
        <v>6</v>
      </c>
      <c r="C115" s="158">
        <f>('2019'!E19-'2019'!E7)+'2020'!E7</f>
        <v>5486.1111111111104</v>
      </c>
      <c r="D115" s="38">
        <f>C115*'Forecasted Targets'!$F$64</f>
        <v>822.91666666666652</v>
      </c>
      <c r="E115" s="38">
        <f>$C115*'Forecasted Targets'!G$64</f>
        <v>548.61111111111109</v>
      </c>
      <c r="F115" s="38">
        <f>$C115*'Forecasted Targets'!H$64</f>
        <v>4114.583333333333</v>
      </c>
      <c r="G115" s="38">
        <f>$F115*'Comm Breakdown'!D$24</f>
        <v>1860.114009359221</v>
      </c>
      <c r="H115" s="38">
        <f>$F115*'Comm Breakdown'!E$24</f>
        <v>1760.5045820197331</v>
      </c>
      <c r="I115" s="38">
        <f>$F115*'Comm Breakdown'!F$24</f>
        <v>493.96474195437946</v>
      </c>
      <c r="K115" s="114">
        <f t="shared" si="67"/>
        <v>32318.162393162391</v>
      </c>
      <c r="L115" s="114">
        <f t="shared" si="68"/>
        <v>4896.5150525676181</v>
      </c>
      <c r="M115" s="114">
        <f t="shared" si="69"/>
        <v>3231.8162393162393</v>
      </c>
      <c r="N115" s="114">
        <f t="shared" si="70"/>
        <v>24189.831101278534</v>
      </c>
      <c r="O115" s="114">
        <f t="shared" si="71"/>
        <v>11115.413133462589</v>
      </c>
      <c r="P115" s="114">
        <f t="shared" si="72"/>
        <v>10151.774979253376</v>
      </c>
      <c r="Q115" s="114">
        <f t="shared" si="73"/>
        <v>2922.6429885625703</v>
      </c>
      <c r="R115" s="114"/>
      <c r="S115" s="1">
        <f t="shared" si="65"/>
        <v>32119.611886230319</v>
      </c>
      <c r="T115" s="1">
        <f t="shared" si="64"/>
        <v>4891.3492505669192</v>
      </c>
      <c r="U115" s="1">
        <f t="shared" si="64"/>
        <v>3211.9611886230327</v>
      </c>
      <c r="V115" s="1">
        <f t="shared" si="64"/>
        <v>24016.297141470157</v>
      </c>
      <c r="W115" s="1">
        <f t="shared" si="64"/>
        <v>11056.660518561017</v>
      </c>
      <c r="X115" s="1">
        <f t="shared" si="64"/>
        <v>10056.888624140021</v>
      </c>
      <c r="Y115" s="1">
        <f t="shared" si="64"/>
        <v>2902.7202092790803</v>
      </c>
      <c r="Z115" s="121"/>
    </row>
    <row r="116" spans="1:26" s="127" customFormat="1" x14ac:dyDescent="0.25">
      <c r="A116" s="125">
        <f t="shared" si="40"/>
        <v>2020</v>
      </c>
      <c r="B116" s="125">
        <f t="shared" si="41"/>
        <v>7</v>
      </c>
      <c r="C116" s="158">
        <f>('2019'!E20-'2019'!E8)+'2020'!E8</f>
        <v>5486.1111111111104</v>
      </c>
      <c r="D116" s="126">
        <f>C116*'Forecasted Targets'!$F$64</f>
        <v>822.91666666666652</v>
      </c>
      <c r="E116" s="126">
        <f>$C116*'Forecasted Targets'!G$64</f>
        <v>548.61111111111109</v>
      </c>
      <c r="F116" s="126">
        <f>$C116*'Forecasted Targets'!H$64</f>
        <v>4114.583333333333</v>
      </c>
      <c r="G116" s="126">
        <f>$F116*'Comm Breakdown'!D$24</f>
        <v>1860.114009359221</v>
      </c>
      <c r="H116" s="126">
        <f>$F116*'Comm Breakdown'!E$24</f>
        <v>1760.5045820197331</v>
      </c>
      <c r="I116" s="126">
        <f>$F116*'Comm Breakdown'!F$24</f>
        <v>493.96474195437946</v>
      </c>
      <c r="K116" s="131">
        <f t="shared" si="67"/>
        <v>32740.170940170938</v>
      </c>
      <c r="L116" s="131">
        <f t="shared" si="68"/>
        <v>4967.9481168844432</v>
      </c>
      <c r="M116" s="131">
        <f t="shared" si="69"/>
        <v>3274.0170940170947</v>
      </c>
      <c r="N116" s="131">
        <f t="shared" si="70"/>
        <v>24498.205729269401</v>
      </c>
      <c r="O116" s="131">
        <f t="shared" si="71"/>
        <v>11261.187587922457</v>
      </c>
      <c r="P116" s="131">
        <f t="shared" si="72"/>
        <v>10277.07057260564</v>
      </c>
      <c r="Q116" s="131">
        <f t="shared" si="73"/>
        <v>2959.9475687413074</v>
      </c>
      <c r="R116" s="131"/>
      <c r="S116" s="1">
        <f t="shared" si="65"/>
        <v>32600.566249435429</v>
      </c>
      <c r="T116" s="1">
        <f t="shared" si="64"/>
        <v>4963.4366256137364</v>
      </c>
      <c r="U116" s="1">
        <f t="shared" si="64"/>
        <v>3260.0566249435437</v>
      </c>
      <c r="V116" s="1">
        <f t="shared" si="64"/>
        <v>24377.06976201044</v>
      </c>
      <c r="W116" s="1">
        <f t="shared" si="64"/>
        <v>11219.606002511207</v>
      </c>
      <c r="X116" s="1">
        <f t="shared" si="64"/>
        <v>10211.426163277605</v>
      </c>
      <c r="Y116" s="1">
        <f t="shared" si="64"/>
        <v>2946.016701699255</v>
      </c>
      <c r="Z116" s="129"/>
    </row>
    <row r="117" spans="1:26" x14ac:dyDescent="0.25">
      <c r="A117" s="32">
        <f t="shared" si="40"/>
        <v>2020</v>
      </c>
      <c r="B117" s="32">
        <f t="shared" si="41"/>
        <v>8</v>
      </c>
      <c r="C117" s="158">
        <f>('2019'!E21-'2019'!E9)+'2020'!E9</f>
        <v>5486.1111111111104</v>
      </c>
      <c r="D117" s="38">
        <f>C117*'Forecasted Targets'!$F$64</f>
        <v>822.91666666666652</v>
      </c>
      <c r="E117" s="38">
        <f>$C117*'Forecasted Targets'!G$64</f>
        <v>548.61111111111109</v>
      </c>
      <c r="F117" s="38">
        <f>$C117*'Forecasted Targets'!H$64</f>
        <v>4114.583333333333</v>
      </c>
      <c r="G117" s="38">
        <f>$F117*'Comm Breakdown'!D$24</f>
        <v>1860.114009359221</v>
      </c>
      <c r="H117" s="38">
        <f>$F117*'Comm Breakdown'!E$24</f>
        <v>1760.5045820197331</v>
      </c>
      <c r="I117" s="38">
        <f>$F117*'Comm Breakdown'!F$24</f>
        <v>493.96474195437946</v>
      </c>
      <c r="K117" s="114">
        <f t="shared" si="67"/>
        <v>33162.179487179485</v>
      </c>
      <c r="L117" s="114">
        <f t="shared" si="68"/>
        <v>5039.3811812012682</v>
      </c>
      <c r="M117" s="114">
        <f t="shared" si="69"/>
        <v>3316.2179487179492</v>
      </c>
      <c r="N117" s="114">
        <f t="shared" si="70"/>
        <v>24806.580357260267</v>
      </c>
      <c r="O117" s="114">
        <f t="shared" si="71"/>
        <v>11406.962042382322</v>
      </c>
      <c r="P117" s="114">
        <f t="shared" si="72"/>
        <v>10402.366165957905</v>
      </c>
      <c r="Q117" s="114">
        <f t="shared" si="73"/>
        <v>2997.2521489200435</v>
      </c>
      <c r="R117" s="114"/>
      <c r="S117" s="1">
        <f t="shared" si="65"/>
        <v>33088.722352820507</v>
      </c>
      <c r="T117" s="1">
        <f t="shared" si="64"/>
        <v>5036.5864047897494</v>
      </c>
      <c r="U117" s="1">
        <f t="shared" si="64"/>
        <v>3308.8722352820514</v>
      </c>
      <c r="V117" s="1">
        <f t="shared" si="64"/>
        <v>24743.261905925403</v>
      </c>
      <c r="W117" s="1">
        <f t="shared" si="64"/>
        <v>11384.952865313104</v>
      </c>
      <c r="X117" s="1">
        <f t="shared" si="64"/>
        <v>10368.338378311011</v>
      </c>
      <c r="Y117" s="1">
        <f t="shared" si="64"/>
        <v>2989.9589974076343</v>
      </c>
      <c r="Z117" s="121"/>
    </row>
    <row r="118" spans="1:26" s="118" customFormat="1" x14ac:dyDescent="0.25">
      <c r="A118" s="116">
        <f t="shared" si="40"/>
        <v>2020</v>
      </c>
      <c r="B118" s="116">
        <f t="shared" si="41"/>
        <v>9</v>
      </c>
      <c r="C118" s="158">
        <f>('2019'!E22-'2019'!E10)+'2020'!E10</f>
        <v>5486.1111111111104</v>
      </c>
      <c r="D118" s="117">
        <f>C118*'Forecasted Targets'!$F$64</f>
        <v>822.91666666666652</v>
      </c>
      <c r="E118" s="117">
        <f>$C118*'Forecasted Targets'!G$64</f>
        <v>548.61111111111109</v>
      </c>
      <c r="F118" s="117">
        <f>$C118*'Forecasted Targets'!H$64</f>
        <v>4114.583333333333</v>
      </c>
      <c r="G118" s="117">
        <f>$F118*'Comm Breakdown'!D$24</f>
        <v>1860.114009359221</v>
      </c>
      <c r="H118" s="117">
        <f>$F118*'Comm Breakdown'!E$24</f>
        <v>1760.5045820197331</v>
      </c>
      <c r="I118" s="117">
        <f>$F118*'Comm Breakdown'!F$24</f>
        <v>493.96474195437946</v>
      </c>
      <c r="K118" s="119">
        <f>C46+C58+C70+C82+C94+C106+C118</f>
        <v>33584.188034188031</v>
      </c>
      <c r="L118" s="119">
        <f>D46+D58+D70+D82+D94+D106+D118</f>
        <v>5110.814245518095</v>
      </c>
      <c r="M118" s="119">
        <f t="shared" si="69"/>
        <v>3358.4188034188037</v>
      </c>
      <c r="N118" s="119">
        <f t="shared" si="70"/>
        <v>25114.954985251134</v>
      </c>
      <c r="O118" s="119">
        <f t="shared" si="71"/>
        <v>11552.736496842188</v>
      </c>
      <c r="P118" s="119">
        <f t="shared" si="72"/>
        <v>10527.661759310169</v>
      </c>
      <c r="Q118" s="119">
        <f t="shared" si="73"/>
        <v>3034.5567290987801</v>
      </c>
      <c r="R118" s="119"/>
      <c r="S118" s="120">
        <f>K118</f>
        <v>33584.188034188031</v>
      </c>
      <c r="T118" s="120">
        <f t="shared" ref="T118:Y121" si="74">L118</f>
        <v>5110.814245518095</v>
      </c>
      <c r="U118" s="120">
        <f t="shared" si="74"/>
        <v>3358.4188034188037</v>
      </c>
      <c r="V118" s="120">
        <f t="shared" si="74"/>
        <v>25114.954985251134</v>
      </c>
      <c r="W118" s="120">
        <f t="shared" si="74"/>
        <v>11552.736496842188</v>
      </c>
      <c r="X118" s="120">
        <f t="shared" si="74"/>
        <v>10527.661759310169</v>
      </c>
      <c r="Y118" s="120">
        <f t="shared" si="74"/>
        <v>3034.5567290987801</v>
      </c>
      <c r="Z118" s="122"/>
    </row>
    <row r="119" spans="1:26" x14ac:dyDescent="0.25">
      <c r="A119" s="32">
        <f t="shared" si="40"/>
        <v>2020</v>
      </c>
      <c r="B119" s="32">
        <f t="shared" si="41"/>
        <v>10</v>
      </c>
      <c r="C119" s="158">
        <f>('2019'!E23-'2019'!E11)+'2020'!E11</f>
        <v>5486.1111111111104</v>
      </c>
      <c r="D119" s="38">
        <f>C119*'Forecasted Targets'!$F$64</f>
        <v>822.91666666666652</v>
      </c>
      <c r="E119" s="38">
        <f>$C119*'Forecasted Targets'!G$64</f>
        <v>548.61111111111109</v>
      </c>
      <c r="F119" s="38">
        <f>$C119*'Forecasted Targets'!H$64</f>
        <v>4114.583333333333</v>
      </c>
      <c r="G119" s="38">
        <f>$F119*'Comm Breakdown'!D$24</f>
        <v>1860.114009359221</v>
      </c>
      <c r="H119" s="38">
        <f>$F119*'Comm Breakdown'!E$24</f>
        <v>1760.5045820197331</v>
      </c>
      <c r="I119" s="38">
        <f>$F119*'Comm Breakdown'!F$24</f>
        <v>493.96474195437946</v>
      </c>
      <c r="K119" s="114">
        <f t="shared" si="67"/>
        <v>34006.196581196578</v>
      </c>
      <c r="L119" s="114">
        <f t="shared" si="68"/>
        <v>5182.2473098349201</v>
      </c>
      <c r="M119" s="114">
        <f t="shared" si="69"/>
        <v>3400.6196581196582</v>
      </c>
      <c r="N119" s="114">
        <f t="shared" si="70"/>
        <v>25423.329613242</v>
      </c>
      <c r="O119" s="114">
        <f t="shared" si="71"/>
        <v>11698.510951302052</v>
      </c>
      <c r="P119" s="114">
        <f t="shared" si="72"/>
        <v>10652.957352662435</v>
      </c>
      <c r="Q119" s="114">
        <f t="shared" si="73"/>
        <v>3071.8613092775167</v>
      </c>
      <c r="R119" s="114"/>
      <c r="S119" s="1">
        <f>K119</f>
        <v>34006.196581196578</v>
      </c>
      <c r="T119" s="1">
        <f t="shared" si="74"/>
        <v>5182.2473098349201</v>
      </c>
      <c r="U119" s="1">
        <f t="shared" si="74"/>
        <v>3400.6196581196582</v>
      </c>
      <c r="V119" s="1">
        <f t="shared" si="74"/>
        <v>25423.329613242</v>
      </c>
      <c r="W119" s="1">
        <f t="shared" si="74"/>
        <v>11698.510951302052</v>
      </c>
      <c r="X119" s="1">
        <f t="shared" si="74"/>
        <v>10652.957352662435</v>
      </c>
      <c r="Y119" s="1">
        <f t="shared" si="74"/>
        <v>3071.8613092775167</v>
      </c>
      <c r="Z119" s="121"/>
    </row>
    <row r="120" spans="1:26" x14ac:dyDescent="0.25">
      <c r="A120" s="32">
        <f t="shared" si="40"/>
        <v>2020</v>
      </c>
      <c r="B120" s="32">
        <f t="shared" si="41"/>
        <v>11</v>
      </c>
      <c r="C120" s="158">
        <f>('2019'!E24-'2019'!E12)+'2020'!E12</f>
        <v>5486.1111111111104</v>
      </c>
      <c r="D120" s="38">
        <f>C120*'Forecasted Targets'!$F$64</f>
        <v>822.91666666666652</v>
      </c>
      <c r="E120" s="38">
        <f>$C120*'Forecasted Targets'!G$64</f>
        <v>548.61111111111109</v>
      </c>
      <c r="F120" s="38">
        <f>$C120*'Forecasted Targets'!H$64</f>
        <v>4114.583333333333</v>
      </c>
      <c r="G120" s="38">
        <f>$F120*'Comm Breakdown'!D$24</f>
        <v>1860.114009359221</v>
      </c>
      <c r="H120" s="38">
        <f>$F120*'Comm Breakdown'!E$24</f>
        <v>1760.5045820197331</v>
      </c>
      <c r="I120" s="38">
        <f>$F120*'Comm Breakdown'!F$24</f>
        <v>493.96474195437946</v>
      </c>
      <c r="K120" s="114">
        <f t="shared" si="67"/>
        <v>34428.205128205125</v>
      </c>
      <c r="L120" s="114">
        <f t="shared" si="68"/>
        <v>5253.6803741517451</v>
      </c>
      <c r="M120" s="114">
        <f t="shared" si="69"/>
        <v>3442.8205128205136</v>
      </c>
      <c r="N120" s="114">
        <f t="shared" si="70"/>
        <v>25731.704241232866</v>
      </c>
      <c r="O120" s="114">
        <f t="shared" si="71"/>
        <v>11844.285405761917</v>
      </c>
      <c r="P120" s="114">
        <f t="shared" si="72"/>
        <v>10778.2529460147</v>
      </c>
      <c r="Q120" s="114">
        <f t="shared" si="73"/>
        <v>3109.1658894562529</v>
      </c>
      <c r="R120" s="114"/>
      <c r="S120" s="1">
        <f t="shared" ref="S120:S121" si="75">K120</f>
        <v>34428.205128205125</v>
      </c>
      <c r="T120" s="1">
        <f t="shared" si="74"/>
        <v>5253.6803741517451</v>
      </c>
      <c r="U120" s="1">
        <f t="shared" si="74"/>
        <v>3442.8205128205136</v>
      </c>
      <c r="V120" s="1">
        <f t="shared" si="74"/>
        <v>25731.704241232866</v>
      </c>
      <c r="W120" s="1">
        <f t="shared" si="74"/>
        <v>11844.285405761917</v>
      </c>
      <c r="X120" s="1">
        <f t="shared" si="74"/>
        <v>10778.2529460147</v>
      </c>
      <c r="Y120" s="1">
        <f t="shared" si="74"/>
        <v>3109.1658894562529</v>
      </c>
      <c r="Z120" s="121"/>
    </row>
    <row r="121" spans="1:26" s="127" customFormat="1" x14ac:dyDescent="0.25">
      <c r="A121" s="125">
        <f t="shared" si="40"/>
        <v>2020</v>
      </c>
      <c r="B121" s="125">
        <f t="shared" si="41"/>
        <v>12</v>
      </c>
      <c r="C121" s="158">
        <f>('2019'!E25-'2019'!E13)+'2020'!E13</f>
        <v>5486.1111111111104</v>
      </c>
      <c r="D121" s="126">
        <f>C121*'Forecasted Targets'!$F$64</f>
        <v>822.91666666666652</v>
      </c>
      <c r="E121" s="126">
        <f>$C121*'Forecasted Targets'!G$64</f>
        <v>548.61111111111109</v>
      </c>
      <c r="F121" s="126">
        <f>$C121*'Forecasted Targets'!H$64</f>
        <v>4114.583333333333</v>
      </c>
      <c r="G121" s="126">
        <f>$F121*'Comm Breakdown'!D$24</f>
        <v>1860.114009359221</v>
      </c>
      <c r="H121" s="126">
        <f>$F121*'Comm Breakdown'!E$24</f>
        <v>1760.5045820197331</v>
      </c>
      <c r="I121" s="126">
        <f>$F121*'Comm Breakdown'!F$24</f>
        <v>493.96474195437946</v>
      </c>
      <c r="K121" s="131">
        <f>C49+C61+C73+C85+C97+C109+C121</f>
        <v>34850.213675213672</v>
      </c>
      <c r="L121" s="131">
        <f t="shared" si="68"/>
        <v>5325.1134384685702</v>
      </c>
      <c r="M121" s="131">
        <f t="shared" si="69"/>
        <v>3485.0213675213681</v>
      </c>
      <c r="N121" s="131">
        <f t="shared" si="70"/>
        <v>26040.078869223733</v>
      </c>
      <c r="O121" s="131">
        <f t="shared" si="71"/>
        <v>11990.059860221783</v>
      </c>
      <c r="P121" s="131">
        <f t="shared" si="72"/>
        <v>10903.548539366964</v>
      </c>
      <c r="Q121" s="131">
        <f t="shared" si="73"/>
        <v>3146.47046963499</v>
      </c>
      <c r="R121" s="131"/>
      <c r="S121" s="1">
        <f t="shared" si="75"/>
        <v>34850.213675213672</v>
      </c>
      <c r="T121" s="1">
        <f t="shared" si="74"/>
        <v>5325.1134384685702</v>
      </c>
      <c r="U121" s="1">
        <f t="shared" si="74"/>
        <v>3485.0213675213681</v>
      </c>
      <c r="V121" s="1">
        <f t="shared" si="74"/>
        <v>26040.078869223733</v>
      </c>
      <c r="W121" s="1">
        <f t="shared" si="74"/>
        <v>11990.059860221783</v>
      </c>
      <c r="X121" s="1">
        <f t="shared" si="74"/>
        <v>10903.548539366964</v>
      </c>
      <c r="Y121" s="1">
        <f t="shared" si="74"/>
        <v>3146.47046963499</v>
      </c>
      <c r="Z121" s="129"/>
    </row>
    <row r="122" spans="1:26" ht="15.75" thickBot="1" x14ac:dyDescent="0.3">
      <c r="A122" s="32"/>
      <c r="B122" s="32"/>
      <c r="D122" s="38"/>
      <c r="E122" s="38"/>
      <c r="F122" s="38"/>
    </row>
    <row r="123" spans="1:26" x14ac:dyDescent="0.25">
      <c r="A123" s="32"/>
      <c r="B123" s="32"/>
      <c r="C123" s="55"/>
      <c r="D123" s="38"/>
      <c r="E123" s="38"/>
      <c r="F123" s="38"/>
      <c r="J123" s="161">
        <f t="shared" ref="J123" si="76">J124-1</f>
        <v>2014</v>
      </c>
      <c r="K123" s="162">
        <f>+SUM(K38:K49)</f>
        <v>14133.333333333334</v>
      </c>
      <c r="L123" s="163">
        <f>+'Forecasted Targets'!E1</f>
        <v>14133.333333333334</v>
      </c>
      <c r="M123" s="164">
        <f>K123-L123</f>
        <v>0</v>
      </c>
    </row>
    <row r="124" spans="1:26" x14ac:dyDescent="0.25">
      <c r="A124" s="32"/>
      <c r="B124" s="32"/>
      <c r="D124" s="38"/>
      <c r="E124" s="38"/>
      <c r="F124" s="38"/>
      <c r="J124" s="165">
        <f t="shared" ref="J124:J127" si="77">J125-1</f>
        <v>2015</v>
      </c>
      <c r="K124" s="166">
        <f>+SUM(K50:K61)</f>
        <v>48016.666666666679</v>
      </c>
      <c r="L124" s="167">
        <f>+'Forecasted Targets'!F1</f>
        <v>48016.666666666672</v>
      </c>
      <c r="M124" s="168">
        <f>K124-L124</f>
        <v>0</v>
      </c>
    </row>
    <row r="125" spans="1:26" x14ac:dyDescent="0.25">
      <c r="A125" s="32"/>
      <c r="B125" s="32"/>
      <c r="D125" s="38"/>
      <c r="E125" s="38"/>
      <c r="F125" s="38"/>
      <c r="J125" s="165">
        <f t="shared" si="77"/>
        <v>2016</v>
      </c>
      <c r="K125" s="166">
        <f>+SUM(K62:K73)</f>
        <v>107266.66666666666</v>
      </c>
      <c r="L125" s="167">
        <f>+'Forecasted Targets'!G1</f>
        <v>107266.66666666667</v>
      </c>
      <c r="M125" s="168">
        <f t="shared" ref="M125:M129" si="78">K125-L125</f>
        <v>0</v>
      </c>
    </row>
    <row r="126" spans="1:26" x14ac:dyDescent="0.25">
      <c r="A126" s="32"/>
      <c r="B126" s="32"/>
      <c r="D126" s="38"/>
      <c r="E126" s="38"/>
      <c r="F126" s="38"/>
      <c r="J126" s="165">
        <f t="shared" si="77"/>
        <v>2017</v>
      </c>
      <c r="K126" s="166">
        <f>+SUM(K74:K85)</f>
        <v>186266.66666666666</v>
      </c>
      <c r="L126" s="167">
        <f>+'Forecasted Targets'!H1</f>
        <v>186266.66666666666</v>
      </c>
      <c r="M126" s="168">
        <f t="shared" si="78"/>
        <v>0</v>
      </c>
    </row>
    <row r="127" spans="1:26" x14ac:dyDescent="0.25">
      <c r="A127" s="32"/>
      <c r="B127" s="32"/>
      <c r="D127" s="38"/>
      <c r="E127" s="38"/>
      <c r="F127" s="38"/>
      <c r="J127" s="165">
        <f t="shared" si="77"/>
        <v>2018</v>
      </c>
      <c r="K127" s="166">
        <f>+SUM(K86:K97)</f>
        <v>258683.33333333337</v>
      </c>
      <c r="L127" s="167">
        <f>+'Forecasted Targets'!I1</f>
        <v>258683.33333333331</v>
      </c>
      <c r="M127" s="168">
        <f t="shared" si="78"/>
        <v>0</v>
      </c>
    </row>
    <row r="128" spans="1:26" x14ac:dyDescent="0.25">
      <c r="A128" s="32"/>
      <c r="B128" s="32"/>
      <c r="D128" s="38"/>
      <c r="E128" s="38"/>
      <c r="F128" s="38"/>
      <c r="J128" s="165">
        <f>J129-1</f>
        <v>2019</v>
      </c>
      <c r="K128" s="166">
        <f>SUM(K98:K109)</f>
        <v>324516.66666666669</v>
      </c>
      <c r="L128" s="167">
        <f>+'Forecasted Targets'!J1</f>
        <v>324516.66666666669</v>
      </c>
      <c r="M128" s="168">
        <f t="shared" si="78"/>
        <v>0</v>
      </c>
    </row>
    <row r="129" spans="1:13" ht="15.75" thickBot="1" x14ac:dyDescent="0.3">
      <c r="A129" s="32"/>
      <c r="B129" s="32"/>
      <c r="D129" s="38"/>
      <c r="E129" s="38"/>
      <c r="F129" s="38"/>
      <c r="H129" s="41"/>
      <c r="I129" s="41"/>
      <c r="J129" s="169">
        <v>2020</v>
      </c>
      <c r="K129" s="170">
        <f>SUM(K110:K121)</f>
        <v>390350</v>
      </c>
      <c r="L129" s="171">
        <f>+'Forecasted Targets'!K1</f>
        <v>390350</v>
      </c>
      <c r="M129" s="172">
        <f t="shared" si="78"/>
        <v>0</v>
      </c>
    </row>
    <row r="130" spans="1:13" x14ac:dyDescent="0.25">
      <c r="A130" s="32"/>
      <c r="B130" s="32"/>
      <c r="D130" s="38"/>
      <c r="E130" s="38"/>
      <c r="F130" s="38"/>
    </row>
    <row r="131" spans="1:13" x14ac:dyDescent="0.25">
      <c r="A131" s="32"/>
      <c r="B131" s="32"/>
      <c r="D131" s="38"/>
      <c r="E131" s="38"/>
      <c r="F131" s="38"/>
    </row>
    <row r="132" spans="1:13" x14ac:dyDescent="0.25">
      <c r="A132" s="32"/>
      <c r="B132" s="32"/>
      <c r="D132" s="38"/>
      <c r="E132" s="38"/>
      <c r="F132" s="38"/>
    </row>
    <row r="133" spans="1:13" x14ac:dyDescent="0.25">
      <c r="A133" s="32"/>
      <c r="B133" s="32"/>
      <c r="D133" s="38"/>
      <c r="E133" s="38"/>
      <c r="F133" s="38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opLeftCell="A7" workbookViewId="0">
      <selection activeCell="C46" sqref="C46"/>
    </sheetView>
  </sheetViews>
  <sheetFormatPr defaultRowHeight="15" x14ac:dyDescent="0.25"/>
  <cols>
    <col min="1" max="2" width="10.42578125" style="34" customWidth="1"/>
    <col min="3" max="3" width="13.28515625" bestFit="1" customWidth="1"/>
    <col min="4" max="4" width="11.7109375" bestFit="1" customWidth="1"/>
    <col min="5" max="5" width="13.28515625" bestFit="1" customWidth="1"/>
    <col min="6" max="6" width="12.7109375" bestFit="1" customWidth="1"/>
    <col min="7" max="7" width="17.28515625" bestFit="1" customWidth="1"/>
    <col min="8" max="8" width="15.7109375" bestFit="1" customWidth="1"/>
    <col min="9" max="9" width="14.7109375" customWidth="1"/>
    <col min="10" max="10" width="13.28515625" customWidth="1"/>
  </cols>
  <sheetData>
    <row r="1" spans="1:9" s="7" customFormat="1" x14ac:dyDescent="0.25">
      <c r="A1" s="123" t="s">
        <v>27</v>
      </c>
      <c r="B1" s="123" t="s">
        <v>28</v>
      </c>
      <c r="C1" s="7" t="s">
        <v>118</v>
      </c>
      <c r="D1" s="123" t="s">
        <v>119</v>
      </c>
      <c r="E1" s="123" t="s">
        <v>120</v>
      </c>
      <c r="F1" s="123" t="s">
        <v>121</v>
      </c>
      <c r="G1" s="123" t="s">
        <v>122</v>
      </c>
      <c r="H1" s="123" t="s">
        <v>123</v>
      </c>
      <c r="I1" s="123" t="s">
        <v>124</v>
      </c>
    </row>
    <row r="2" spans="1:9" s="34" customFormat="1" x14ac:dyDescent="0.25">
      <c r="A2" s="32">
        <v>2011</v>
      </c>
      <c r="B2" s="32">
        <v>1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</row>
    <row r="3" spans="1:9" x14ac:dyDescent="0.25">
      <c r="A3" s="32">
        <v>2011</v>
      </c>
      <c r="B3" s="32">
        <f>B2+1</f>
        <v>2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</row>
    <row r="4" spans="1:9" x14ac:dyDescent="0.25">
      <c r="A4" s="32">
        <v>2011</v>
      </c>
      <c r="B4" s="32">
        <f t="shared" ref="B4:B13" si="0">B3+1</f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</row>
    <row r="5" spans="1:9" x14ac:dyDescent="0.25">
      <c r="A5" s="32">
        <v>2011</v>
      </c>
      <c r="B5" s="32">
        <f t="shared" si="0"/>
        <v>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</row>
    <row r="6" spans="1:9" x14ac:dyDescent="0.25">
      <c r="A6" s="32">
        <v>2011</v>
      </c>
      <c r="B6" s="32">
        <f t="shared" si="0"/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</row>
    <row r="7" spans="1:9" x14ac:dyDescent="0.25">
      <c r="A7" s="32">
        <v>2011</v>
      </c>
      <c r="B7" s="32">
        <f t="shared" si="0"/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</row>
    <row r="8" spans="1:9" x14ac:dyDescent="0.25">
      <c r="A8" s="32">
        <v>2011</v>
      </c>
      <c r="B8" s="32">
        <f t="shared" si="0"/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</row>
    <row r="9" spans="1:9" x14ac:dyDescent="0.25">
      <c r="A9" s="32">
        <v>2011</v>
      </c>
      <c r="B9" s="32">
        <f t="shared" si="0"/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0" spans="1:9" x14ac:dyDescent="0.25">
      <c r="A10" s="32">
        <v>2011</v>
      </c>
      <c r="B10" s="32">
        <f t="shared" si="0"/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1:9" x14ac:dyDescent="0.25">
      <c r="A11" s="32">
        <v>2011</v>
      </c>
      <c r="B11" s="32">
        <f t="shared" si="0"/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1:9" x14ac:dyDescent="0.25">
      <c r="A12" s="32">
        <v>2011</v>
      </c>
      <c r="B12" s="32">
        <f t="shared" si="0"/>
        <v>11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1:9" x14ac:dyDescent="0.25">
      <c r="A13" s="32">
        <v>2011</v>
      </c>
      <c r="B13" s="32">
        <f t="shared" si="0"/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1:9" x14ac:dyDescent="0.25">
      <c r="A14" s="32">
        <f>A2+1</f>
        <v>2012</v>
      </c>
      <c r="B14" s="32">
        <f>B2</f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1:9" x14ac:dyDescent="0.25">
      <c r="A15" s="32">
        <f t="shared" ref="A15:A78" si="1">A3+1</f>
        <v>2012</v>
      </c>
      <c r="B15" s="32">
        <f t="shared" ref="B15:B78" si="2">B3</f>
        <v>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1:9" x14ac:dyDescent="0.25">
      <c r="A16" s="32">
        <f t="shared" si="1"/>
        <v>2012</v>
      </c>
      <c r="B16" s="32">
        <f t="shared" si="2"/>
        <v>3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1:9" x14ac:dyDescent="0.25">
      <c r="A17" s="32">
        <f t="shared" si="1"/>
        <v>2012</v>
      </c>
      <c r="B17" s="32">
        <f t="shared" si="2"/>
        <v>4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32">
        <f t="shared" si="1"/>
        <v>2012</v>
      </c>
      <c r="B18" s="32">
        <f t="shared" si="2"/>
        <v>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1:9" x14ac:dyDescent="0.25">
      <c r="A19" s="32">
        <f t="shared" si="1"/>
        <v>2012</v>
      </c>
      <c r="B19" s="32">
        <f t="shared" si="2"/>
        <v>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32">
        <f t="shared" si="1"/>
        <v>2012</v>
      </c>
      <c r="B20" s="32">
        <f t="shared" si="2"/>
        <v>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1:9" x14ac:dyDescent="0.25">
      <c r="A21" s="32">
        <f t="shared" si="1"/>
        <v>2012</v>
      </c>
      <c r="B21" s="32">
        <f t="shared" si="2"/>
        <v>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</row>
    <row r="22" spans="1:9" x14ac:dyDescent="0.25">
      <c r="A22" s="32">
        <f t="shared" si="1"/>
        <v>2012</v>
      </c>
      <c r="B22" s="32">
        <f t="shared" si="2"/>
        <v>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</row>
    <row r="23" spans="1:9" x14ac:dyDescent="0.25">
      <c r="A23" s="32">
        <f t="shared" si="1"/>
        <v>2012</v>
      </c>
      <c r="B23" s="32">
        <f t="shared" si="2"/>
        <v>10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</row>
    <row r="24" spans="1:9" x14ac:dyDescent="0.25">
      <c r="A24" s="32">
        <f t="shared" si="1"/>
        <v>2012</v>
      </c>
      <c r="B24" s="32">
        <f t="shared" si="2"/>
        <v>11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</row>
    <row r="25" spans="1:9" x14ac:dyDescent="0.25">
      <c r="A25" s="32">
        <f t="shared" si="1"/>
        <v>2012</v>
      </c>
      <c r="B25" s="32">
        <f t="shared" si="2"/>
        <v>12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32">
        <f t="shared" si="1"/>
        <v>2013</v>
      </c>
      <c r="B26" s="32">
        <f t="shared" si="2"/>
        <v>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</row>
    <row r="27" spans="1:9" x14ac:dyDescent="0.25">
      <c r="A27" s="32">
        <f t="shared" si="1"/>
        <v>2013</v>
      </c>
      <c r="B27" s="32">
        <f t="shared" si="2"/>
        <v>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</row>
    <row r="28" spans="1:9" x14ac:dyDescent="0.25">
      <c r="A28" s="32">
        <f t="shared" si="1"/>
        <v>2013</v>
      </c>
      <c r="B28" s="32">
        <f t="shared" si="2"/>
        <v>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</row>
    <row r="29" spans="1:9" x14ac:dyDescent="0.25">
      <c r="A29" s="32">
        <f t="shared" si="1"/>
        <v>2013</v>
      </c>
      <c r="B29" s="32">
        <f t="shared" si="2"/>
        <v>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</row>
    <row r="30" spans="1:9" x14ac:dyDescent="0.25">
      <c r="A30" s="32">
        <f t="shared" si="1"/>
        <v>2013</v>
      </c>
      <c r="B30" s="32">
        <f t="shared" si="2"/>
        <v>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</row>
    <row r="31" spans="1:9" x14ac:dyDescent="0.25">
      <c r="A31" s="32">
        <f t="shared" si="1"/>
        <v>2013</v>
      </c>
      <c r="B31" s="32">
        <f t="shared" si="2"/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</row>
    <row r="32" spans="1:9" x14ac:dyDescent="0.25">
      <c r="A32" s="32">
        <f t="shared" si="1"/>
        <v>2013</v>
      </c>
      <c r="B32" s="32">
        <f t="shared" si="2"/>
        <v>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</row>
    <row r="33" spans="1:10" x14ac:dyDescent="0.25">
      <c r="A33" s="32">
        <f t="shared" si="1"/>
        <v>2013</v>
      </c>
      <c r="B33" s="32">
        <f t="shared" si="2"/>
        <v>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</row>
    <row r="34" spans="1:10" x14ac:dyDescent="0.25">
      <c r="A34" s="32">
        <f t="shared" si="1"/>
        <v>2013</v>
      </c>
      <c r="B34" s="32">
        <f t="shared" si="2"/>
        <v>9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</row>
    <row r="35" spans="1:10" x14ac:dyDescent="0.25">
      <c r="A35" s="32">
        <f t="shared" si="1"/>
        <v>2013</v>
      </c>
      <c r="B35" s="32">
        <f t="shared" si="2"/>
        <v>10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</row>
    <row r="36" spans="1:10" x14ac:dyDescent="0.25">
      <c r="A36" s="32">
        <f t="shared" si="1"/>
        <v>2013</v>
      </c>
      <c r="B36" s="32">
        <f t="shared" si="2"/>
        <v>11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</row>
    <row r="37" spans="1:10" x14ac:dyDescent="0.25">
      <c r="A37" s="32">
        <f t="shared" si="1"/>
        <v>2013</v>
      </c>
      <c r="B37" s="32">
        <f t="shared" si="2"/>
        <v>12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</row>
    <row r="38" spans="1:10" x14ac:dyDescent="0.25">
      <c r="A38" s="32">
        <f t="shared" si="1"/>
        <v>2014</v>
      </c>
      <c r="B38" s="32">
        <f t="shared" si="2"/>
        <v>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21"/>
    </row>
    <row r="39" spans="1:10" x14ac:dyDescent="0.25">
      <c r="A39" s="32">
        <f t="shared" si="1"/>
        <v>2014</v>
      </c>
      <c r="B39" s="32">
        <f t="shared" si="2"/>
        <v>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21"/>
    </row>
    <row r="40" spans="1:10" s="127" customFormat="1" x14ac:dyDescent="0.25">
      <c r="A40" s="125">
        <f t="shared" si="1"/>
        <v>2014</v>
      </c>
      <c r="B40" s="125">
        <f t="shared" si="2"/>
        <v>3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29"/>
    </row>
    <row r="41" spans="1:10" s="127" customFormat="1" x14ac:dyDescent="0.25">
      <c r="A41" s="125">
        <f t="shared" si="1"/>
        <v>2014</v>
      </c>
      <c r="B41" s="125">
        <f t="shared" si="2"/>
        <v>4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  <c r="H41" s="132">
        <v>0</v>
      </c>
      <c r="I41" s="132">
        <v>0</v>
      </c>
      <c r="J41" s="129"/>
    </row>
    <row r="42" spans="1:10" s="127" customFormat="1" x14ac:dyDescent="0.25">
      <c r="A42" s="125">
        <f t="shared" si="1"/>
        <v>2014</v>
      </c>
      <c r="B42" s="125">
        <f t="shared" si="2"/>
        <v>5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129"/>
    </row>
    <row r="43" spans="1:10" s="127" customFormat="1" x14ac:dyDescent="0.25">
      <c r="A43" s="125">
        <f t="shared" si="1"/>
        <v>2014</v>
      </c>
      <c r="B43" s="125">
        <f t="shared" si="2"/>
        <v>6</v>
      </c>
      <c r="C43" s="132">
        <v>0</v>
      </c>
      <c r="D43" s="132">
        <v>0</v>
      </c>
      <c r="E43" s="132">
        <v>0</v>
      </c>
      <c r="F43" s="132">
        <v>0</v>
      </c>
      <c r="G43" s="132">
        <v>0</v>
      </c>
      <c r="H43" s="132">
        <v>0</v>
      </c>
      <c r="I43" s="132">
        <v>0</v>
      </c>
      <c r="J43" s="129"/>
    </row>
    <row r="44" spans="1:10" s="127" customFormat="1" x14ac:dyDescent="0.25">
      <c r="A44" s="125">
        <f t="shared" si="1"/>
        <v>2014</v>
      </c>
      <c r="B44" s="125">
        <f t="shared" si="2"/>
        <v>7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  <c r="H44" s="132">
        <v>0</v>
      </c>
      <c r="I44" s="132">
        <v>0</v>
      </c>
      <c r="J44" s="129"/>
    </row>
    <row r="45" spans="1:10" s="127" customFormat="1" x14ac:dyDescent="0.25">
      <c r="A45" s="125">
        <f t="shared" si="1"/>
        <v>2014</v>
      </c>
      <c r="B45" s="125">
        <f t="shared" si="2"/>
        <v>8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  <c r="H45" s="132">
        <v>0</v>
      </c>
      <c r="I45" s="132">
        <v>0</v>
      </c>
      <c r="J45" s="129"/>
    </row>
    <row r="46" spans="1:10" s="127" customFormat="1" x14ac:dyDescent="0.25">
      <c r="A46" s="125">
        <f t="shared" si="1"/>
        <v>2014</v>
      </c>
      <c r="B46" s="125">
        <f t="shared" si="2"/>
        <v>9</v>
      </c>
      <c r="C46" s="132">
        <v>0</v>
      </c>
      <c r="D46" s="132">
        <v>0</v>
      </c>
      <c r="E46" s="132">
        <v>0</v>
      </c>
      <c r="F46" s="132">
        <v>0</v>
      </c>
      <c r="G46" s="132">
        <v>0</v>
      </c>
      <c r="H46" s="132">
        <v>0</v>
      </c>
      <c r="I46" s="132">
        <v>0</v>
      </c>
      <c r="J46" s="129"/>
    </row>
    <row r="47" spans="1:10" s="127" customFormat="1" x14ac:dyDescent="0.25">
      <c r="A47" s="125">
        <f t="shared" si="1"/>
        <v>2014</v>
      </c>
      <c r="B47" s="125">
        <f t="shared" si="2"/>
        <v>10</v>
      </c>
      <c r="C47" s="132">
        <v>0</v>
      </c>
      <c r="D47" s="132">
        <v>0</v>
      </c>
      <c r="E47" s="132">
        <v>0</v>
      </c>
      <c r="F47" s="132">
        <v>0</v>
      </c>
      <c r="G47" s="132">
        <v>0</v>
      </c>
      <c r="H47" s="132">
        <v>0</v>
      </c>
      <c r="I47" s="132">
        <v>0</v>
      </c>
      <c r="J47" s="129"/>
    </row>
    <row r="48" spans="1:10" s="127" customFormat="1" x14ac:dyDescent="0.25">
      <c r="A48" s="125">
        <f t="shared" si="1"/>
        <v>2014</v>
      </c>
      <c r="B48" s="125">
        <f t="shared" si="2"/>
        <v>11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29"/>
    </row>
    <row r="49" spans="1:10" s="127" customFormat="1" x14ac:dyDescent="0.25">
      <c r="A49" s="125">
        <f t="shared" si="1"/>
        <v>2014</v>
      </c>
      <c r="B49" s="125">
        <f t="shared" si="2"/>
        <v>12</v>
      </c>
      <c r="C49" s="132">
        <v>0</v>
      </c>
      <c r="D49" s="132">
        <v>0</v>
      </c>
      <c r="E49" s="132">
        <v>0</v>
      </c>
      <c r="F49" s="132">
        <v>0</v>
      </c>
      <c r="G49" s="132">
        <v>0</v>
      </c>
      <c r="H49" s="132">
        <v>0</v>
      </c>
      <c r="I49" s="132">
        <v>0</v>
      </c>
      <c r="J49" s="129"/>
    </row>
    <row r="50" spans="1:10" s="127" customFormat="1" x14ac:dyDescent="0.25">
      <c r="A50" s="125">
        <f t="shared" si="1"/>
        <v>2015</v>
      </c>
      <c r="B50" s="125">
        <f t="shared" si="2"/>
        <v>1</v>
      </c>
      <c r="C50" s="132">
        <v>0</v>
      </c>
      <c r="D50" s="132">
        <v>0</v>
      </c>
      <c r="E50" s="132">
        <v>0</v>
      </c>
      <c r="F50" s="132">
        <v>0</v>
      </c>
      <c r="G50" s="132">
        <v>0</v>
      </c>
      <c r="H50" s="132">
        <v>0</v>
      </c>
      <c r="I50" s="132">
        <v>0</v>
      </c>
      <c r="J50" s="129"/>
    </row>
    <row r="51" spans="1:10" s="127" customFormat="1" x14ac:dyDescent="0.25">
      <c r="A51" s="125">
        <f t="shared" si="1"/>
        <v>2015</v>
      </c>
      <c r="B51" s="125">
        <f t="shared" si="2"/>
        <v>2</v>
      </c>
      <c r="C51" s="132">
        <v>0</v>
      </c>
      <c r="D51" s="132">
        <v>0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29"/>
    </row>
    <row r="52" spans="1:10" s="127" customFormat="1" x14ac:dyDescent="0.25">
      <c r="A52" s="125">
        <f t="shared" si="1"/>
        <v>2015</v>
      </c>
      <c r="B52" s="125">
        <f t="shared" si="2"/>
        <v>3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  <c r="H52" s="132">
        <v>0</v>
      </c>
      <c r="I52" s="132">
        <v>0</v>
      </c>
      <c r="J52" s="129"/>
    </row>
    <row r="53" spans="1:10" s="127" customFormat="1" x14ac:dyDescent="0.25">
      <c r="A53" s="125">
        <f t="shared" si="1"/>
        <v>2015</v>
      </c>
      <c r="B53" s="125">
        <f t="shared" si="2"/>
        <v>4</v>
      </c>
      <c r="C53" s="132">
        <v>0</v>
      </c>
      <c r="D53" s="132">
        <v>0</v>
      </c>
      <c r="E53" s="132">
        <v>0</v>
      </c>
      <c r="F53" s="132">
        <v>0</v>
      </c>
      <c r="G53" s="132">
        <v>0</v>
      </c>
      <c r="H53" s="132">
        <v>0</v>
      </c>
      <c r="I53" s="132">
        <v>0</v>
      </c>
      <c r="J53" s="129"/>
    </row>
    <row r="54" spans="1:10" s="127" customFormat="1" x14ac:dyDescent="0.25">
      <c r="A54" s="125">
        <f t="shared" si="1"/>
        <v>2015</v>
      </c>
      <c r="B54" s="125">
        <f t="shared" si="2"/>
        <v>5</v>
      </c>
      <c r="C54" s="132">
        <v>0</v>
      </c>
      <c r="D54" s="132">
        <v>0</v>
      </c>
      <c r="E54" s="132">
        <v>0</v>
      </c>
      <c r="F54" s="132">
        <v>0</v>
      </c>
      <c r="G54" s="132">
        <v>0</v>
      </c>
      <c r="H54" s="132">
        <v>0</v>
      </c>
      <c r="I54" s="132">
        <v>0</v>
      </c>
      <c r="J54" s="129"/>
    </row>
    <row r="55" spans="1:10" s="127" customFormat="1" x14ac:dyDescent="0.25">
      <c r="A55" s="125">
        <f t="shared" si="1"/>
        <v>2015</v>
      </c>
      <c r="B55" s="125">
        <f t="shared" si="2"/>
        <v>6</v>
      </c>
      <c r="C55" s="132">
        <v>0</v>
      </c>
      <c r="D55" s="132">
        <v>0</v>
      </c>
      <c r="E55" s="132">
        <v>0</v>
      </c>
      <c r="F55" s="132">
        <v>0</v>
      </c>
      <c r="G55" s="132">
        <v>0</v>
      </c>
      <c r="H55" s="132">
        <v>0</v>
      </c>
      <c r="I55" s="132">
        <v>0</v>
      </c>
      <c r="J55" s="129"/>
    </row>
    <row r="56" spans="1:10" s="127" customFormat="1" x14ac:dyDescent="0.25">
      <c r="A56" s="125">
        <f t="shared" si="1"/>
        <v>2015</v>
      </c>
      <c r="B56" s="125">
        <f t="shared" si="2"/>
        <v>7</v>
      </c>
      <c r="C56" s="132">
        <v>0</v>
      </c>
      <c r="D56" s="132">
        <v>0</v>
      </c>
      <c r="E56" s="132">
        <v>0</v>
      </c>
      <c r="F56" s="132">
        <v>0</v>
      </c>
      <c r="G56" s="132">
        <v>0</v>
      </c>
      <c r="H56" s="132">
        <v>0</v>
      </c>
      <c r="I56" s="132">
        <v>0</v>
      </c>
      <c r="J56" s="129"/>
    </row>
    <row r="57" spans="1:10" s="127" customFormat="1" x14ac:dyDescent="0.25">
      <c r="A57" s="125">
        <f t="shared" si="1"/>
        <v>2015</v>
      </c>
      <c r="B57" s="125">
        <f t="shared" si="2"/>
        <v>8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29"/>
    </row>
    <row r="58" spans="1:10" s="127" customFormat="1" x14ac:dyDescent="0.25">
      <c r="A58" s="125">
        <f t="shared" si="1"/>
        <v>2015</v>
      </c>
      <c r="B58" s="125">
        <f t="shared" si="2"/>
        <v>9</v>
      </c>
      <c r="C58" s="132">
        <v>0</v>
      </c>
      <c r="D58" s="132">
        <v>0</v>
      </c>
      <c r="E58" s="132">
        <v>0</v>
      </c>
      <c r="F58" s="132">
        <v>0</v>
      </c>
      <c r="G58" s="132">
        <v>0</v>
      </c>
      <c r="H58" s="132">
        <v>0</v>
      </c>
      <c r="I58" s="132">
        <v>0</v>
      </c>
      <c r="J58" s="129"/>
    </row>
    <row r="59" spans="1:10" s="127" customFormat="1" x14ac:dyDescent="0.25">
      <c r="A59" s="125">
        <f t="shared" si="1"/>
        <v>2015</v>
      </c>
      <c r="B59" s="125">
        <f t="shared" si="2"/>
        <v>10</v>
      </c>
      <c r="C59" s="132">
        <v>0</v>
      </c>
      <c r="D59" s="132">
        <v>0</v>
      </c>
      <c r="E59" s="132">
        <v>0</v>
      </c>
      <c r="F59" s="132">
        <v>0</v>
      </c>
      <c r="G59" s="132">
        <v>0</v>
      </c>
      <c r="H59" s="132">
        <v>0</v>
      </c>
      <c r="I59" s="132">
        <v>0</v>
      </c>
      <c r="J59" s="129"/>
    </row>
    <row r="60" spans="1:10" s="127" customFormat="1" x14ac:dyDescent="0.25">
      <c r="A60" s="125">
        <f t="shared" si="1"/>
        <v>2015</v>
      </c>
      <c r="B60" s="125">
        <f t="shared" si="2"/>
        <v>11</v>
      </c>
      <c r="C60" s="132">
        <v>0</v>
      </c>
      <c r="D60" s="132">
        <v>0</v>
      </c>
      <c r="E60" s="132">
        <v>0</v>
      </c>
      <c r="F60" s="132">
        <v>0</v>
      </c>
      <c r="G60" s="132">
        <v>0</v>
      </c>
      <c r="H60" s="132">
        <v>0</v>
      </c>
      <c r="I60" s="132">
        <v>0</v>
      </c>
      <c r="J60" s="129"/>
    </row>
    <row r="61" spans="1:10" s="127" customFormat="1" x14ac:dyDescent="0.25">
      <c r="A61" s="125">
        <f t="shared" si="1"/>
        <v>2015</v>
      </c>
      <c r="B61" s="125">
        <f t="shared" si="2"/>
        <v>12</v>
      </c>
      <c r="C61" s="132">
        <v>0</v>
      </c>
      <c r="D61" s="132">
        <v>0</v>
      </c>
      <c r="E61" s="132">
        <v>0</v>
      </c>
      <c r="F61" s="132">
        <v>0</v>
      </c>
      <c r="G61" s="132">
        <v>0</v>
      </c>
      <c r="H61" s="132">
        <v>0</v>
      </c>
      <c r="I61" s="132">
        <v>0</v>
      </c>
      <c r="J61" s="129"/>
    </row>
    <row r="62" spans="1:10" s="127" customFormat="1" x14ac:dyDescent="0.25">
      <c r="A62" s="125">
        <f t="shared" si="1"/>
        <v>2016</v>
      </c>
      <c r="B62" s="125">
        <f t="shared" si="2"/>
        <v>1</v>
      </c>
      <c r="C62" s="132">
        <v>0</v>
      </c>
      <c r="D62" s="132">
        <v>0</v>
      </c>
      <c r="E62" s="132">
        <v>0</v>
      </c>
      <c r="F62" s="132">
        <v>0</v>
      </c>
      <c r="G62" s="132">
        <v>0</v>
      </c>
      <c r="H62" s="132">
        <v>0</v>
      </c>
      <c r="I62" s="132">
        <v>0</v>
      </c>
      <c r="J62" s="129"/>
    </row>
    <row r="63" spans="1:10" s="127" customFormat="1" x14ac:dyDescent="0.25">
      <c r="A63" s="125">
        <f t="shared" si="1"/>
        <v>2016</v>
      </c>
      <c r="B63" s="125">
        <f t="shared" si="2"/>
        <v>2</v>
      </c>
      <c r="C63" s="132">
        <v>0</v>
      </c>
      <c r="D63" s="132">
        <v>0</v>
      </c>
      <c r="E63" s="132">
        <v>0</v>
      </c>
      <c r="F63" s="132">
        <v>0</v>
      </c>
      <c r="G63" s="132">
        <v>0</v>
      </c>
      <c r="H63" s="132">
        <v>0</v>
      </c>
      <c r="I63" s="132">
        <v>0</v>
      </c>
      <c r="J63" s="129"/>
    </row>
    <row r="64" spans="1:10" s="127" customFormat="1" x14ac:dyDescent="0.25">
      <c r="A64" s="125">
        <f t="shared" si="1"/>
        <v>2016</v>
      </c>
      <c r="B64" s="125">
        <f t="shared" si="2"/>
        <v>3</v>
      </c>
      <c r="C64" s="132">
        <v>0</v>
      </c>
      <c r="D64" s="132">
        <v>0</v>
      </c>
      <c r="E64" s="132">
        <v>0</v>
      </c>
      <c r="F64" s="132">
        <v>0</v>
      </c>
      <c r="G64" s="132">
        <v>0</v>
      </c>
      <c r="H64" s="132">
        <v>0</v>
      </c>
      <c r="I64" s="132">
        <v>0</v>
      </c>
      <c r="J64" s="129"/>
    </row>
    <row r="65" spans="1:10" s="127" customFormat="1" x14ac:dyDescent="0.25">
      <c r="A65" s="125">
        <f t="shared" si="1"/>
        <v>2016</v>
      </c>
      <c r="B65" s="125">
        <f t="shared" si="2"/>
        <v>4</v>
      </c>
      <c r="C65" s="132">
        <v>0</v>
      </c>
      <c r="D65" s="132">
        <v>0</v>
      </c>
      <c r="E65" s="132">
        <v>0</v>
      </c>
      <c r="F65" s="132">
        <v>0</v>
      </c>
      <c r="G65" s="132">
        <v>0</v>
      </c>
      <c r="H65" s="132">
        <v>0</v>
      </c>
      <c r="I65" s="132">
        <v>0</v>
      </c>
      <c r="J65" s="129"/>
    </row>
    <row r="66" spans="1:10" s="127" customFormat="1" x14ac:dyDescent="0.25">
      <c r="A66" s="125">
        <f t="shared" si="1"/>
        <v>2016</v>
      </c>
      <c r="B66" s="125">
        <f t="shared" si="2"/>
        <v>5</v>
      </c>
      <c r="C66" s="132">
        <v>0</v>
      </c>
      <c r="D66" s="132">
        <v>0</v>
      </c>
      <c r="E66" s="132">
        <v>0</v>
      </c>
      <c r="F66" s="132">
        <v>0</v>
      </c>
      <c r="G66" s="132">
        <v>0</v>
      </c>
      <c r="H66" s="132">
        <v>0</v>
      </c>
      <c r="I66" s="132">
        <v>0</v>
      </c>
      <c r="J66" s="129"/>
    </row>
    <row r="67" spans="1:10" s="127" customFormat="1" x14ac:dyDescent="0.25">
      <c r="A67" s="125">
        <f t="shared" si="1"/>
        <v>2016</v>
      </c>
      <c r="B67" s="125">
        <f t="shared" si="2"/>
        <v>6</v>
      </c>
      <c r="C67" s="132">
        <v>0</v>
      </c>
      <c r="D67" s="132">
        <v>0</v>
      </c>
      <c r="E67" s="132">
        <v>0</v>
      </c>
      <c r="F67" s="132">
        <v>0</v>
      </c>
      <c r="G67" s="132">
        <v>0</v>
      </c>
      <c r="H67" s="132">
        <v>0</v>
      </c>
      <c r="I67" s="132">
        <v>0</v>
      </c>
      <c r="J67" s="129"/>
    </row>
    <row r="68" spans="1:10" s="127" customFormat="1" x14ac:dyDescent="0.25">
      <c r="A68" s="125">
        <f t="shared" si="1"/>
        <v>2016</v>
      </c>
      <c r="B68" s="125">
        <f t="shared" si="2"/>
        <v>7</v>
      </c>
      <c r="C68" s="132">
        <v>0</v>
      </c>
      <c r="D68" s="132">
        <v>0</v>
      </c>
      <c r="E68" s="132">
        <v>0</v>
      </c>
      <c r="F68" s="132">
        <v>0</v>
      </c>
      <c r="G68" s="132">
        <v>0</v>
      </c>
      <c r="H68" s="132">
        <v>0</v>
      </c>
      <c r="I68" s="132">
        <v>0</v>
      </c>
      <c r="J68" s="129"/>
    </row>
    <row r="69" spans="1:10" s="127" customFormat="1" x14ac:dyDescent="0.25">
      <c r="A69" s="125">
        <f t="shared" si="1"/>
        <v>2016</v>
      </c>
      <c r="B69" s="125">
        <f t="shared" si="2"/>
        <v>8</v>
      </c>
      <c r="C69" s="132">
        <v>0</v>
      </c>
      <c r="D69" s="132">
        <v>0</v>
      </c>
      <c r="E69" s="132">
        <v>0</v>
      </c>
      <c r="F69" s="132">
        <v>0</v>
      </c>
      <c r="G69" s="132">
        <v>0</v>
      </c>
      <c r="H69" s="132">
        <v>0</v>
      </c>
      <c r="I69" s="132">
        <v>0</v>
      </c>
      <c r="J69" s="129"/>
    </row>
    <row r="70" spans="1:10" s="127" customFormat="1" x14ac:dyDescent="0.25">
      <c r="A70" s="125">
        <f t="shared" si="1"/>
        <v>2016</v>
      </c>
      <c r="B70" s="125">
        <f t="shared" si="2"/>
        <v>9</v>
      </c>
      <c r="C70" s="132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29"/>
    </row>
    <row r="71" spans="1:10" s="127" customFormat="1" x14ac:dyDescent="0.25">
      <c r="A71" s="125">
        <f t="shared" si="1"/>
        <v>2016</v>
      </c>
      <c r="B71" s="125">
        <f t="shared" si="2"/>
        <v>10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  <c r="H71" s="132">
        <v>0</v>
      </c>
      <c r="I71" s="132">
        <v>0</v>
      </c>
      <c r="J71" s="129"/>
    </row>
    <row r="72" spans="1:10" s="127" customFormat="1" x14ac:dyDescent="0.25">
      <c r="A72" s="125">
        <f t="shared" si="1"/>
        <v>2016</v>
      </c>
      <c r="B72" s="125">
        <f t="shared" si="2"/>
        <v>11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  <c r="H72" s="132">
        <v>0</v>
      </c>
      <c r="I72" s="132">
        <v>0</v>
      </c>
      <c r="J72" s="129"/>
    </row>
    <row r="73" spans="1:10" s="127" customFormat="1" x14ac:dyDescent="0.25">
      <c r="A73" s="125">
        <f t="shared" si="1"/>
        <v>2016</v>
      </c>
      <c r="B73" s="125">
        <f t="shared" si="2"/>
        <v>12</v>
      </c>
      <c r="C73" s="132">
        <v>0</v>
      </c>
      <c r="D73" s="132">
        <v>0</v>
      </c>
      <c r="E73" s="132">
        <v>0</v>
      </c>
      <c r="F73" s="132">
        <v>0</v>
      </c>
      <c r="G73" s="132">
        <v>0</v>
      </c>
      <c r="H73" s="132">
        <v>0</v>
      </c>
      <c r="I73" s="132">
        <v>0</v>
      </c>
      <c r="J73" s="129"/>
    </row>
    <row r="74" spans="1:10" s="127" customFormat="1" x14ac:dyDescent="0.25">
      <c r="A74" s="125">
        <f t="shared" si="1"/>
        <v>2017</v>
      </c>
      <c r="B74" s="125">
        <f t="shared" si="2"/>
        <v>1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  <c r="H74" s="132">
        <v>0</v>
      </c>
      <c r="I74" s="132">
        <v>0</v>
      </c>
      <c r="J74" s="129"/>
    </row>
    <row r="75" spans="1:10" s="127" customFormat="1" x14ac:dyDescent="0.25">
      <c r="A75" s="125">
        <f t="shared" si="1"/>
        <v>2017</v>
      </c>
      <c r="B75" s="125">
        <f t="shared" si="2"/>
        <v>2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  <c r="H75" s="132">
        <v>0</v>
      </c>
      <c r="I75" s="132">
        <v>0</v>
      </c>
      <c r="J75" s="129"/>
    </row>
    <row r="76" spans="1:10" s="127" customFormat="1" x14ac:dyDescent="0.25">
      <c r="A76" s="125">
        <f t="shared" si="1"/>
        <v>2017</v>
      </c>
      <c r="B76" s="125">
        <f t="shared" si="2"/>
        <v>3</v>
      </c>
      <c r="C76" s="132">
        <v>0</v>
      </c>
      <c r="D76" s="132">
        <v>0</v>
      </c>
      <c r="E76" s="132">
        <v>0</v>
      </c>
      <c r="F76" s="132">
        <v>0</v>
      </c>
      <c r="G76" s="132">
        <v>0</v>
      </c>
      <c r="H76" s="132">
        <v>0</v>
      </c>
      <c r="I76" s="132">
        <v>0</v>
      </c>
      <c r="J76" s="129"/>
    </row>
    <row r="77" spans="1:10" s="127" customFormat="1" x14ac:dyDescent="0.25">
      <c r="A77" s="125">
        <f t="shared" si="1"/>
        <v>2017</v>
      </c>
      <c r="B77" s="125">
        <f t="shared" si="2"/>
        <v>4</v>
      </c>
      <c r="C77" s="132">
        <v>0</v>
      </c>
      <c r="D77" s="132">
        <v>0</v>
      </c>
      <c r="E77" s="132">
        <v>0</v>
      </c>
      <c r="F77" s="132">
        <v>0</v>
      </c>
      <c r="G77" s="132">
        <v>0</v>
      </c>
      <c r="H77" s="132">
        <v>0</v>
      </c>
      <c r="I77" s="132">
        <v>0</v>
      </c>
      <c r="J77" s="129"/>
    </row>
    <row r="78" spans="1:10" s="127" customFormat="1" x14ac:dyDescent="0.25">
      <c r="A78" s="125">
        <f t="shared" si="1"/>
        <v>2017</v>
      </c>
      <c r="B78" s="125">
        <f t="shared" si="2"/>
        <v>5</v>
      </c>
      <c r="C78" s="132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29"/>
    </row>
    <row r="79" spans="1:10" s="127" customFormat="1" x14ac:dyDescent="0.25">
      <c r="A79" s="125">
        <f t="shared" ref="A79:A121" si="3">A67+1</f>
        <v>2017</v>
      </c>
      <c r="B79" s="125">
        <f t="shared" ref="B79:B121" si="4">B67</f>
        <v>6</v>
      </c>
      <c r="C79" s="132">
        <v>0</v>
      </c>
      <c r="D79" s="132">
        <v>0</v>
      </c>
      <c r="E79" s="132">
        <v>0</v>
      </c>
      <c r="F79" s="132">
        <v>0</v>
      </c>
      <c r="G79" s="132">
        <v>0</v>
      </c>
      <c r="H79" s="132">
        <v>0</v>
      </c>
      <c r="I79" s="132">
        <v>0</v>
      </c>
      <c r="J79" s="129"/>
    </row>
    <row r="80" spans="1:10" s="127" customFormat="1" x14ac:dyDescent="0.25">
      <c r="A80" s="125">
        <f t="shared" si="3"/>
        <v>2017</v>
      </c>
      <c r="B80" s="125">
        <f t="shared" si="4"/>
        <v>7</v>
      </c>
      <c r="C80" s="132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29"/>
    </row>
    <row r="81" spans="1:10" s="127" customFormat="1" x14ac:dyDescent="0.25">
      <c r="A81" s="125">
        <f t="shared" si="3"/>
        <v>2017</v>
      </c>
      <c r="B81" s="125">
        <f t="shared" si="4"/>
        <v>8</v>
      </c>
      <c r="C81" s="132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29"/>
    </row>
    <row r="82" spans="1:10" s="127" customFormat="1" x14ac:dyDescent="0.25">
      <c r="A82" s="125">
        <f t="shared" si="3"/>
        <v>2017</v>
      </c>
      <c r="B82" s="125">
        <f t="shared" si="4"/>
        <v>9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29"/>
    </row>
    <row r="83" spans="1:10" s="127" customFormat="1" x14ac:dyDescent="0.25">
      <c r="A83" s="125">
        <f t="shared" si="3"/>
        <v>2017</v>
      </c>
      <c r="B83" s="125">
        <f t="shared" si="4"/>
        <v>10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I83" s="132">
        <v>0</v>
      </c>
      <c r="J83" s="129"/>
    </row>
    <row r="84" spans="1:10" s="127" customFormat="1" x14ac:dyDescent="0.25">
      <c r="A84" s="125">
        <f t="shared" si="3"/>
        <v>2017</v>
      </c>
      <c r="B84" s="125">
        <f t="shared" si="4"/>
        <v>11</v>
      </c>
      <c r="C84" s="132">
        <v>0</v>
      </c>
      <c r="D84" s="132">
        <v>0</v>
      </c>
      <c r="E84" s="132">
        <v>0</v>
      </c>
      <c r="F84" s="132">
        <v>0</v>
      </c>
      <c r="G84" s="132">
        <v>0</v>
      </c>
      <c r="H84" s="132">
        <v>0</v>
      </c>
      <c r="I84" s="132">
        <v>0</v>
      </c>
      <c r="J84" s="129"/>
    </row>
    <row r="85" spans="1:10" s="127" customFormat="1" x14ac:dyDescent="0.25">
      <c r="A85" s="125">
        <f t="shared" si="3"/>
        <v>2017</v>
      </c>
      <c r="B85" s="125">
        <f t="shared" si="4"/>
        <v>12</v>
      </c>
      <c r="C85" s="132">
        <v>0</v>
      </c>
      <c r="D85" s="132">
        <v>0</v>
      </c>
      <c r="E85" s="132">
        <v>0</v>
      </c>
      <c r="F85" s="132">
        <v>0</v>
      </c>
      <c r="G85" s="132">
        <v>0</v>
      </c>
      <c r="H85" s="132">
        <v>0</v>
      </c>
      <c r="I85" s="132">
        <v>0</v>
      </c>
      <c r="J85" s="129"/>
    </row>
    <row r="86" spans="1:10" s="127" customFormat="1" x14ac:dyDescent="0.25">
      <c r="A86" s="125">
        <f t="shared" si="3"/>
        <v>2018</v>
      </c>
      <c r="B86" s="125">
        <f t="shared" si="4"/>
        <v>1</v>
      </c>
      <c r="C86" s="132">
        <v>0</v>
      </c>
      <c r="D86" s="132">
        <v>0</v>
      </c>
      <c r="E86" s="132">
        <v>0</v>
      </c>
      <c r="F86" s="132">
        <v>0</v>
      </c>
      <c r="G86" s="132">
        <v>0</v>
      </c>
      <c r="H86" s="132">
        <v>0</v>
      </c>
      <c r="I86" s="132">
        <v>0</v>
      </c>
      <c r="J86" s="129"/>
    </row>
    <row r="87" spans="1:10" s="127" customFormat="1" x14ac:dyDescent="0.25">
      <c r="A87" s="125">
        <f t="shared" si="3"/>
        <v>2018</v>
      </c>
      <c r="B87" s="125">
        <f t="shared" si="4"/>
        <v>2</v>
      </c>
      <c r="C87" s="132">
        <v>0</v>
      </c>
      <c r="D87" s="132">
        <v>0</v>
      </c>
      <c r="E87" s="132">
        <v>0</v>
      </c>
      <c r="F87" s="132">
        <v>0</v>
      </c>
      <c r="G87" s="132">
        <v>0</v>
      </c>
      <c r="H87" s="132">
        <v>0</v>
      </c>
      <c r="I87" s="132">
        <v>0</v>
      </c>
      <c r="J87" s="129"/>
    </row>
    <row r="88" spans="1:10" s="127" customFormat="1" x14ac:dyDescent="0.25">
      <c r="A88" s="125">
        <f t="shared" si="3"/>
        <v>2018</v>
      </c>
      <c r="B88" s="125">
        <f t="shared" si="4"/>
        <v>3</v>
      </c>
      <c r="C88" s="132">
        <v>0</v>
      </c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29"/>
    </row>
    <row r="89" spans="1:10" s="127" customFormat="1" x14ac:dyDescent="0.25">
      <c r="A89" s="125">
        <f t="shared" si="3"/>
        <v>2018</v>
      </c>
      <c r="B89" s="125">
        <f t="shared" si="4"/>
        <v>4</v>
      </c>
      <c r="C89" s="132">
        <v>0</v>
      </c>
      <c r="D89" s="132">
        <v>0</v>
      </c>
      <c r="E89" s="132">
        <v>0</v>
      </c>
      <c r="F89" s="132">
        <v>0</v>
      </c>
      <c r="G89" s="132">
        <v>0</v>
      </c>
      <c r="H89" s="132">
        <v>0</v>
      </c>
      <c r="I89" s="132">
        <v>0</v>
      </c>
      <c r="J89" s="129"/>
    </row>
    <row r="90" spans="1:10" s="127" customFormat="1" x14ac:dyDescent="0.25">
      <c r="A90" s="125">
        <f t="shared" si="3"/>
        <v>2018</v>
      </c>
      <c r="B90" s="125">
        <f t="shared" si="4"/>
        <v>5</v>
      </c>
      <c r="C90" s="132">
        <v>0</v>
      </c>
      <c r="D90" s="132">
        <v>0</v>
      </c>
      <c r="E90" s="132">
        <v>0</v>
      </c>
      <c r="F90" s="132">
        <v>0</v>
      </c>
      <c r="G90" s="132">
        <v>0</v>
      </c>
      <c r="H90" s="132">
        <v>0</v>
      </c>
      <c r="I90" s="132">
        <v>0</v>
      </c>
      <c r="J90" s="129"/>
    </row>
    <row r="91" spans="1:10" s="127" customFormat="1" x14ac:dyDescent="0.25">
      <c r="A91" s="125">
        <f t="shared" si="3"/>
        <v>2018</v>
      </c>
      <c r="B91" s="125">
        <f t="shared" si="4"/>
        <v>6</v>
      </c>
      <c r="C91" s="132">
        <v>0</v>
      </c>
      <c r="D91" s="132">
        <v>0</v>
      </c>
      <c r="E91" s="132">
        <v>0</v>
      </c>
      <c r="F91" s="132">
        <v>0</v>
      </c>
      <c r="G91" s="132">
        <v>0</v>
      </c>
      <c r="H91" s="132">
        <v>0</v>
      </c>
      <c r="I91" s="132">
        <v>0</v>
      </c>
      <c r="J91" s="129"/>
    </row>
    <row r="92" spans="1:10" s="127" customFormat="1" x14ac:dyDescent="0.25">
      <c r="A92" s="125">
        <f t="shared" si="3"/>
        <v>2018</v>
      </c>
      <c r="B92" s="125">
        <f t="shared" si="4"/>
        <v>7</v>
      </c>
      <c r="C92" s="132">
        <v>0</v>
      </c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29"/>
    </row>
    <row r="93" spans="1:10" s="127" customFormat="1" x14ac:dyDescent="0.25">
      <c r="A93" s="125">
        <f t="shared" si="3"/>
        <v>2018</v>
      </c>
      <c r="B93" s="125">
        <f t="shared" si="4"/>
        <v>8</v>
      </c>
      <c r="C93" s="132">
        <v>0</v>
      </c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29"/>
    </row>
    <row r="94" spans="1:10" s="127" customFormat="1" x14ac:dyDescent="0.25">
      <c r="A94" s="125">
        <f t="shared" si="3"/>
        <v>2018</v>
      </c>
      <c r="B94" s="125">
        <f t="shared" si="4"/>
        <v>9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  <c r="I94" s="132">
        <v>0</v>
      </c>
      <c r="J94" s="129"/>
    </row>
    <row r="95" spans="1:10" s="127" customFormat="1" x14ac:dyDescent="0.25">
      <c r="A95" s="125">
        <f t="shared" si="3"/>
        <v>2018</v>
      </c>
      <c r="B95" s="125">
        <f t="shared" si="4"/>
        <v>10</v>
      </c>
      <c r="C95" s="132">
        <v>0</v>
      </c>
      <c r="D95" s="132">
        <v>0</v>
      </c>
      <c r="E95" s="132">
        <v>0</v>
      </c>
      <c r="F95" s="132">
        <v>0</v>
      </c>
      <c r="G95" s="132">
        <v>0</v>
      </c>
      <c r="H95" s="132">
        <v>0</v>
      </c>
      <c r="I95" s="132">
        <v>0</v>
      </c>
      <c r="J95" s="129"/>
    </row>
    <row r="96" spans="1:10" s="127" customFormat="1" x14ac:dyDescent="0.25">
      <c r="A96" s="125">
        <f t="shared" si="3"/>
        <v>2018</v>
      </c>
      <c r="B96" s="125">
        <f t="shared" si="4"/>
        <v>11</v>
      </c>
      <c r="C96" s="132">
        <v>0</v>
      </c>
      <c r="D96" s="132">
        <v>0</v>
      </c>
      <c r="E96" s="132">
        <v>0</v>
      </c>
      <c r="F96" s="132">
        <v>0</v>
      </c>
      <c r="G96" s="132">
        <v>0</v>
      </c>
      <c r="H96" s="132">
        <v>0</v>
      </c>
      <c r="I96" s="132">
        <v>0</v>
      </c>
      <c r="J96" s="129"/>
    </row>
    <row r="97" spans="1:10" s="127" customFormat="1" x14ac:dyDescent="0.25">
      <c r="A97" s="125">
        <f t="shared" si="3"/>
        <v>2018</v>
      </c>
      <c r="B97" s="125">
        <f t="shared" si="4"/>
        <v>12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  <c r="I97" s="132">
        <v>0</v>
      </c>
      <c r="J97" s="129"/>
    </row>
    <row r="98" spans="1:10" s="127" customFormat="1" x14ac:dyDescent="0.25">
      <c r="A98" s="125">
        <f t="shared" si="3"/>
        <v>2019</v>
      </c>
      <c r="B98" s="125">
        <f t="shared" si="4"/>
        <v>1</v>
      </c>
      <c r="C98" s="132">
        <v>0</v>
      </c>
      <c r="D98" s="132">
        <v>0</v>
      </c>
      <c r="E98" s="132">
        <v>0</v>
      </c>
      <c r="F98" s="132">
        <v>0</v>
      </c>
      <c r="G98" s="132">
        <v>0</v>
      </c>
      <c r="H98" s="132">
        <v>0</v>
      </c>
      <c r="I98" s="132">
        <v>0</v>
      </c>
      <c r="J98" s="129"/>
    </row>
    <row r="99" spans="1:10" s="127" customFormat="1" x14ac:dyDescent="0.25">
      <c r="A99" s="125">
        <f t="shared" si="3"/>
        <v>2019</v>
      </c>
      <c r="B99" s="125">
        <f t="shared" si="4"/>
        <v>2</v>
      </c>
      <c r="C99" s="132">
        <v>0</v>
      </c>
      <c r="D99" s="132">
        <v>0</v>
      </c>
      <c r="E99" s="132">
        <v>0</v>
      </c>
      <c r="F99" s="132">
        <v>0</v>
      </c>
      <c r="G99" s="132">
        <v>0</v>
      </c>
      <c r="H99" s="132">
        <v>0</v>
      </c>
      <c r="I99" s="132">
        <v>0</v>
      </c>
      <c r="J99" s="129"/>
    </row>
    <row r="100" spans="1:10" s="127" customFormat="1" x14ac:dyDescent="0.25">
      <c r="A100" s="125">
        <f t="shared" si="3"/>
        <v>2019</v>
      </c>
      <c r="B100" s="125">
        <f t="shared" si="4"/>
        <v>3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I100" s="132">
        <v>0</v>
      </c>
      <c r="J100" s="129"/>
    </row>
    <row r="101" spans="1:10" s="127" customFormat="1" x14ac:dyDescent="0.25">
      <c r="A101" s="125">
        <f t="shared" si="3"/>
        <v>2019</v>
      </c>
      <c r="B101" s="125">
        <f t="shared" si="4"/>
        <v>4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I101" s="132">
        <v>0</v>
      </c>
      <c r="J101" s="129"/>
    </row>
    <row r="102" spans="1:10" s="127" customFormat="1" x14ac:dyDescent="0.25">
      <c r="A102" s="125">
        <f t="shared" si="3"/>
        <v>2019</v>
      </c>
      <c r="B102" s="125">
        <f t="shared" si="4"/>
        <v>5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29"/>
    </row>
    <row r="103" spans="1:10" s="127" customFormat="1" x14ac:dyDescent="0.25">
      <c r="A103" s="125">
        <f t="shared" si="3"/>
        <v>2019</v>
      </c>
      <c r="B103" s="125">
        <f t="shared" si="4"/>
        <v>6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29"/>
    </row>
    <row r="104" spans="1:10" s="127" customFormat="1" x14ac:dyDescent="0.25">
      <c r="A104" s="125">
        <f t="shared" si="3"/>
        <v>2019</v>
      </c>
      <c r="B104" s="125">
        <f t="shared" si="4"/>
        <v>7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29"/>
    </row>
    <row r="105" spans="1:10" s="127" customFormat="1" x14ac:dyDescent="0.25">
      <c r="A105" s="125">
        <f t="shared" si="3"/>
        <v>2019</v>
      </c>
      <c r="B105" s="125">
        <f t="shared" si="4"/>
        <v>8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  <c r="H105" s="132">
        <v>0</v>
      </c>
      <c r="I105" s="132">
        <v>0</v>
      </c>
      <c r="J105" s="129"/>
    </row>
    <row r="106" spans="1:10" s="127" customFormat="1" x14ac:dyDescent="0.25">
      <c r="A106" s="125">
        <f t="shared" si="3"/>
        <v>2019</v>
      </c>
      <c r="B106" s="125">
        <f t="shared" si="4"/>
        <v>9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  <c r="I106" s="132">
        <v>0</v>
      </c>
      <c r="J106" s="129"/>
    </row>
    <row r="107" spans="1:10" s="127" customFormat="1" x14ac:dyDescent="0.25">
      <c r="A107" s="125">
        <f t="shared" si="3"/>
        <v>2019</v>
      </c>
      <c r="B107" s="125">
        <f t="shared" si="4"/>
        <v>10</v>
      </c>
      <c r="C107" s="132">
        <v>0</v>
      </c>
      <c r="D107" s="132">
        <v>0</v>
      </c>
      <c r="E107" s="132">
        <v>0</v>
      </c>
      <c r="F107" s="132">
        <v>0</v>
      </c>
      <c r="G107" s="132">
        <v>0</v>
      </c>
      <c r="H107" s="132">
        <v>0</v>
      </c>
      <c r="I107" s="132">
        <v>0</v>
      </c>
      <c r="J107" s="129"/>
    </row>
    <row r="108" spans="1:10" s="127" customFormat="1" x14ac:dyDescent="0.25">
      <c r="A108" s="125">
        <f t="shared" si="3"/>
        <v>2019</v>
      </c>
      <c r="B108" s="125">
        <f t="shared" si="4"/>
        <v>11</v>
      </c>
      <c r="C108" s="132">
        <v>0</v>
      </c>
      <c r="D108" s="132">
        <v>0</v>
      </c>
      <c r="E108" s="132">
        <v>0</v>
      </c>
      <c r="F108" s="132">
        <v>0</v>
      </c>
      <c r="G108" s="132">
        <v>0</v>
      </c>
      <c r="H108" s="132">
        <v>0</v>
      </c>
      <c r="I108" s="132">
        <v>0</v>
      </c>
      <c r="J108" s="129"/>
    </row>
    <row r="109" spans="1:10" s="127" customFormat="1" x14ac:dyDescent="0.25">
      <c r="A109" s="125">
        <f t="shared" si="3"/>
        <v>2019</v>
      </c>
      <c r="B109" s="125">
        <f t="shared" si="4"/>
        <v>12</v>
      </c>
      <c r="C109" s="132">
        <v>0</v>
      </c>
      <c r="D109" s="132">
        <v>0</v>
      </c>
      <c r="E109" s="132">
        <v>0</v>
      </c>
      <c r="F109" s="132">
        <v>0</v>
      </c>
      <c r="G109" s="132">
        <v>0</v>
      </c>
      <c r="H109" s="132">
        <v>0</v>
      </c>
      <c r="I109" s="132">
        <v>0</v>
      </c>
      <c r="J109" s="129"/>
    </row>
    <row r="110" spans="1:10" s="127" customFormat="1" x14ac:dyDescent="0.25">
      <c r="A110" s="125">
        <f t="shared" si="3"/>
        <v>2020</v>
      </c>
      <c r="B110" s="125">
        <f t="shared" si="4"/>
        <v>1</v>
      </c>
      <c r="C110" s="132">
        <v>0</v>
      </c>
      <c r="D110" s="132">
        <v>0</v>
      </c>
      <c r="E110" s="132">
        <v>0</v>
      </c>
      <c r="F110" s="132">
        <v>0</v>
      </c>
      <c r="G110" s="132">
        <v>0</v>
      </c>
      <c r="H110" s="132">
        <v>0</v>
      </c>
      <c r="I110" s="132">
        <v>0</v>
      </c>
      <c r="J110" s="129"/>
    </row>
    <row r="111" spans="1:10" s="127" customFormat="1" x14ac:dyDescent="0.25">
      <c r="A111" s="125">
        <f t="shared" si="3"/>
        <v>2020</v>
      </c>
      <c r="B111" s="125">
        <f t="shared" si="4"/>
        <v>2</v>
      </c>
      <c r="C111" s="132">
        <v>0</v>
      </c>
      <c r="D111" s="132">
        <v>0</v>
      </c>
      <c r="E111" s="132">
        <v>0</v>
      </c>
      <c r="F111" s="132">
        <v>0</v>
      </c>
      <c r="G111" s="132">
        <v>0</v>
      </c>
      <c r="H111" s="132">
        <v>0</v>
      </c>
      <c r="I111" s="132">
        <v>0</v>
      </c>
      <c r="J111" s="129"/>
    </row>
    <row r="112" spans="1:10" s="127" customFormat="1" x14ac:dyDescent="0.25">
      <c r="A112" s="125">
        <f t="shared" si="3"/>
        <v>2020</v>
      </c>
      <c r="B112" s="125">
        <f t="shared" si="4"/>
        <v>3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29"/>
    </row>
    <row r="113" spans="1:10" s="127" customFormat="1" x14ac:dyDescent="0.25">
      <c r="A113" s="125">
        <f t="shared" si="3"/>
        <v>2020</v>
      </c>
      <c r="B113" s="125">
        <f t="shared" si="4"/>
        <v>4</v>
      </c>
      <c r="C113" s="132">
        <v>0</v>
      </c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29"/>
    </row>
    <row r="114" spans="1:10" s="127" customFormat="1" x14ac:dyDescent="0.25">
      <c r="A114" s="125">
        <f t="shared" si="3"/>
        <v>2020</v>
      </c>
      <c r="B114" s="125">
        <f t="shared" si="4"/>
        <v>5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29"/>
    </row>
    <row r="115" spans="1:10" s="127" customFormat="1" x14ac:dyDescent="0.25">
      <c r="A115" s="125">
        <f t="shared" si="3"/>
        <v>2020</v>
      </c>
      <c r="B115" s="125">
        <f t="shared" si="4"/>
        <v>6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29"/>
    </row>
    <row r="116" spans="1:10" s="127" customFormat="1" x14ac:dyDescent="0.25">
      <c r="A116" s="125">
        <f t="shared" si="3"/>
        <v>2020</v>
      </c>
      <c r="B116" s="125">
        <f t="shared" si="4"/>
        <v>7</v>
      </c>
      <c r="C116" s="132">
        <v>0</v>
      </c>
      <c r="D116" s="132">
        <v>0</v>
      </c>
      <c r="E116" s="132">
        <v>0</v>
      </c>
      <c r="F116" s="132">
        <v>0</v>
      </c>
      <c r="G116" s="132">
        <v>0</v>
      </c>
      <c r="H116" s="132">
        <v>0</v>
      </c>
      <c r="I116" s="132">
        <v>0</v>
      </c>
      <c r="J116" s="129"/>
    </row>
    <row r="117" spans="1:10" s="127" customFormat="1" x14ac:dyDescent="0.25">
      <c r="A117" s="125">
        <f t="shared" si="3"/>
        <v>2020</v>
      </c>
      <c r="B117" s="125">
        <f t="shared" si="4"/>
        <v>8</v>
      </c>
      <c r="C117" s="132">
        <v>0</v>
      </c>
      <c r="D117" s="132">
        <v>0</v>
      </c>
      <c r="E117" s="132">
        <v>0</v>
      </c>
      <c r="F117" s="132">
        <v>0</v>
      </c>
      <c r="G117" s="132">
        <v>0</v>
      </c>
      <c r="H117" s="132">
        <v>0</v>
      </c>
      <c r="I117" s="132">
        <v>0</v>
      </c>
      <c r="J117" s="129"/>
    </row>
    <row r="118" spans="1:10" s="127" customFormat="1" x14ac:dyDescent="0.25">
      <c r="A118" s="125">
        <f t="shared" si="3"/>
        <v>2020</v>
      </c>
      <c r="B118" s="125">
        <f t="shared" si="4"/>
        <v>9</v>
      </c>
      <c r="C118" s="132">
        <v>0</v>
      </c>
      <c r="D118" s="132">
        <v>0</v>
      </c>
      <c r="E118" s="132">
        <v>0</v>
      </c>
      <c r="F118" s="132">
        <v>0</v>
      </c>
      <c r="G118" s="132">
        <v>0</v>
      </c>
      <c r="H118" s="132">
        <v>0</v>
      </c>
      <c r="I118" s="132">
        <v>0</v>
      </c>
      <c r="J118" s="129"/>
    </row>
    <row r="119" spans="1:10" s="127" customFormat="1" x14ac:dyDescent="0.25">
      <c r="A119" s="125">
        <f t="shared" si="3"/>
        <v>2020</v>
      </c>
      <c r="B119" s="125">
        <f t="shared" si="4"/>
        <v>10</v>
      </c>
      <c r="C119" s="132">
        <v>0</v>
      </c>
      <c r="D119" s="132">
        <v>0</v>
      </c>
      <c r="E119" s="132">
        <v>0</v>
      </c>
      <c r="F119" s="132">
        <v>0</v>
      </c>
      <c r="G119" s="132">
        <v>0</v>
      </c>
      <c r="H119" s="132">
        <v>0</v>
      </c>
      <c r="I119" s="132">
        <v>0</v>
      </c>
      <c r="J119" s="129"/>
    </row>
    <row r="120" spans="1:10" s="127" customFormat="1" x14ac:dyDescent="0.25">
      <c r="A120" s="125">
        <f t="shared" si="3"/>
        <v>2020</v>
      </c>
      <c r="B120" s="125">
        <f t="shared" si="4"/>
        <v>11</v>
      </c>
      <c r="C120" s="132">
        <v>0</v>
      </c>
      <c r="D120" s="132">
        <v>0</v>
      </c>
      <c r="E120" s="132">
        <v>0</v>
      </c>
      <c r="F120" s="132">
        <v>0</v>
      </c>
      <c r="G120" s="132">
        <v>0</v>
      </c>
      <c r="H120" s="132">
        <v>0</v>
      </c>
      <c r="I120" s="132">
        <v>0</v>
      </c>
      <c r="J120" s="129"/>
    </row>
    <row r="121" spans="1:10" s="127" customFormat="1" x14ac:dyDescent="0.25">
      <c r="A121" s="125">
        <f t="shared" si="3"/>
        <v>2020</v>
      </c>
      <c r="B121" s="125">
        <f t="shared" si="4"/>
        <v>12</v>
      </c>
      <c r="C121" s="132">
        <v>0</v>
      </c>
      <c r="D121" s="132">
        <v>0</v>
      </c>
      <c r="E121" s="132">
        <v>0</v>
      </c>
      <c r="F121" s="132">
        <v>0</v>
      </c>
      <c r="G121" s="132">
        <v>0</v>
      </c>
      <c r="H121" s="132">
        <v>0</v>
      </c>
      <c r="I121" s="132">
        <v>0</v>
      </c>
      <c r="J121" s="129"/>
    </row>
    <row r="122" spans="1:10" s="127" customFormat="1" x14ac:dyDescent="0.25">
      <c r="A122" s="125"/>
      <c r="B122" s="125"/>
    </row>
    <row r="123" spans="1:10" s="127" customFormat="1" x14ac:dyDescent="0.25">
      <c r="A123" s="125"/>
      <c r="B123" s="125"/>
    </row>
    <row r="124" spans="1:10" s="127" customFormat="1" x14ac:dyDescent="0.25">
      <c r="A124" s="125"/>
      <c r="B124" s="125"/>
    </row>
    <row r="125" spans="1:10" s="127" customFormat="1" x14ac:dyDescent="0.25">
      <c r="A125" s="125"/>
      <c r="B125" s="125"/>
    </row>
    <row r="126" spans="1:10" s="127" customFormat="1" x14ac:dyDescent="0.25">
      <c r="A126" s="125"/>
      <c r="B126" s="125"/>
    </row>
    <row r="127" spans="1:10" x14ac:dyDescent="0.25">
      <c r="A127" s="32"/>
      <c r="B127" s="32"/>
    </row>
    <row r="128" spans="1:10" x14ac:dyDescent="0.25">
      <c r="A128" s="32"/>
      <c r="B128" s="32"/>
    </row>
    <row r="129" spans="1:2" x14ac:dyDescent="0.25">
      <c r="A129" s="32"/>
      <c r="B129" s="32"/>
    </row>
    <row r="130" spans="1:2" x14ac:dyDescent="0.25">
      <c r="A130" s="32"/>
      <c r="B130" s="32"/>
    </row>
    <row r="131" spans="1:2" x14ac:dyDescent="0.25">
      <c r="A131" s="32"/>
      <c r="B131" s="32"/>
    </row>
    <row r="132" spans="1:2" x14ac:dyDescent="0.25">
      <c r="A132" s="32"/>
      <c r="B132" s="32"/>
    </row>
    <row r="133" spans="1:2" x14ac:dyDescent="0.25">
      <c r="A133" s="32"/>
      <c r="B133" s="3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pane ySplit="1" topLeftCell="A101" activePane="bottomLeft" state="frozen"/>
      <selection pane="bottomLeft" activeCell="D130" sqref="D130"/>
    </sheetView>
  </sheetViews>
  <sheetFormatPr defaultRowHeight="15" x14ac:dyDescent="0.25"/>
  <cols>
    <col min="1" max="2" width="10.42578125" style="34" customWidth="1"/>
    <col min="3" max="3" width="13.7109375" style="34" bestFit="1" customWidth="1"/>
    <col min="4" max="4" width="12.28515625" bestFit="1" customWidth="1"/>
    <col min="5" max="5" width="13.7109375" bestFit="1" customWidth="1"/>
    <col min="6" max="6" width="13.28515625" bestFit="1" customWidth="1"/>
    <col min="7" max="7" width="17.85546875" bestFit="1" customWidth="1"/>
    <col min="8" max="8" width="16.28515625" bestFit="1" customWidth="1"/>
    <col min="9" max="9" width="15.7109375" bestFit="1" customWidth="1"/>
    <col min="10" max="10" width="8.42578125" bestFit="1" customWidth="1"/>
  </cols>
  <sheetData>
    <row r="1" spans="1:10" s="7" customFormat="1" x14ac:dyDescent="0.25">
      <c r="A1" s="31" t="s">
        <v>27</v>
      </c>
      <c r="B1" s="31" t="s">
        <v>28</v>
      </c>
      <c r="C1" s="31" t="s">
        <v>118</v>
      </c>
      <c r="D1" s="31" t="s">
        <v>119</v>
      </c>
      <c r="E1" s="31" t="s">
        <v>120</v>
      </c>
      <c r="F1" s="37" t="s">
        <v>121</v>
      </c>
      <c r="G1" s="37" t="s">
        <v>122</v>
      </c>
      <c r="H1" s="37" t="s">
        <v>123</v>
      </c>
      <c r="I1" s="37" t="s">
        <v>124</v>
      </c>
    </row>
    <row r="2" spans="1:10" s="34" customFormat="1" x14ac:dyDescent="0.25">
      <c r="A2" s="32">
        <v>2011</v>
      </c>
      <c r="B2" s="32">
        <v>1</v>
      </c>
      <c r="C2" s="36">
        <v>0</v>
      </c>
      <c r="D2" s="36">
        <v>0</v>
      </c>
      <c r="E2" s="36">
        <v>0</v>
      </c>
      <c r="F2" s="36">
        <v>0</v>
      </c>
      <c r="G2" s="36">
        <v>0</v>
      </c>
      <c r="H2" s="36">
        <v>0</v>
      </c>
      <c r="I2" s="36">
        <v>0</v>
      </c>
      <c r="J2" s="36"/>
    </row>
    <row r="3" spans="1:10" x14ac:dyDescent="0.25">
      <c r="A3" s="32">
        <v>2011</v>
      </c>
      <c r="B3" s="32">
        <f>B2+1</f>
        <v>2</v>
      </c>
      <c r="C3" s="36">
        <v>0</v>
      </c>
      <c r="D3" s="36">
        <v>0</v>
      </c>
      <c r="E3" s="36">
        <v>0</v>
      </c>
      <c r="F3" s="36">
        <v>0</v>
      </c>
      <c r="G3" s="36">
        <v>0</v>
      </c>
      <c r="H3" s="36">
        <v>0</v>
      </c>
      <c r="I3" s="36">
        <v>0</v>
      </c>
      <c r="J3" s="36"/>
    </row>
    <row r="4" spans="1:10" x14ac:dyDescent="0.25">
      <c r="A4" s="32">
        <v>2011</v>
      </c>
      <c r="B4" s="32">
        <f t="shared" ref="B4:B13" si="0">B3+1</f>
        <v>3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/>
    </row>
    <row r="5" spans="1:10" x14ac:dyDescent="0.25">
      <c r="A5" s="32">
        <v>2011</v>
      </c>
      <c r="B5" s="32">
        <f t="shared" si="0"/>
        <v>4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/>
    </row>
    <row r="6" spans="1:10" x14ac:dyDescent="0.25">
      <c r="A6" s="32">
        <v>2011</v>
      </c>
      <c r="B6" s="32">
        <f t="shared" si="0"/>
        <v>5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/>
    </row>
    <row r="7" spans="1:10" x14ac:dyDescent="0.25">
      <c r="A7" s="32">
        <v>2011</v>
      </c>
      <c r="B7" s="32">
        <f t="shared" si="0"/>
        <v>6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/>
    </row>
    <row r="8" spans="1:10" x14ac:dyDescent="0.25">
      <c r="A8" s="32">
        <v>2011</v>
      </c>
      <c r="B8" s="32">
        <f t="shared" si="0"/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/>
    </row>
    <row r="9" spans="1:10" x14ac:dyDescent="0.25">
      <c r="A9" s="32">
        <v>2011</v>
      </c>
      <c r="B9" s="32">
        <f t="shared" si="0"/>
        <v>8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/>
    </row>
    <row r="10" spans="1:10" x14ac:dyDescent="0.25">
      <c r="A10" s="32">
        <v>2011</v>
      </c>
      <c r="B10" s="32">
        <f t="shared" si="0"/>
        <v>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/>
    </row>
    <row r="11" spans="1:10" x14ac:dyDescent="0.25">
      <c r="A11" s="32">
        <v>2011</v>
      </c>
      <c r="B11" s="32">
        <f t="shared" si="0"/>
        <v>10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/>
    </row>
    <row r="12" spans="1:10" x14ac:dyDescent="0.25">
      <c r="A12" s="32">
        <v>2011</v>
      </c>
      <c r="B12" s="32">
        <f t="shared" si="0"/>
        <v>11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</row>
    <row r="13" spans="1:10" x14ac:dyDescent="0.25">
      <c r="A13" s="32">
        <v>2011</v>
      </c>
      <c r="B13" s="32">
        <f t="shared" si="0"/>
        <v>12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/>
    </row>
    <row r="14" spans="1:10" x14ac:dyDescent="0.25">
      <c r="A14" s="32">
        <f>A2+1</f>
        <v>2012</v>
      </c>
      <c r="B14" s="32">
        <f>B2</f>
        <v>1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/>
    </row>
    <row r="15" spans="1:10" x14ac:dyDescent="0.25">
      <c r="A15" s="32">
        <f t="shared" ref="A15:A78" si="1">A3+1</f>
        <v>2012</v>
      </c>
      <c r="B15" s="32">
        <f t="shared" ref="B15:B78" si="2">B3</f>
        <v>2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/>
    </row>
    <row r="16" spans="1:10" x14ac:dyDescent="0.25">
      <c r="A16" s="32">
        <f t="shared" si="1"/>
        <v>2012</v>
      </c>
      <c r="B16" s="32">
        <f t="shared" si="2"/>
        <v>3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/>
    </row>
    <row r="17" spans="1:13" x14ac:dyDescent="0.25">
      <c r="A17" s="32">
        <f t="shared" si="1"/>
        <v>2012</v>
      </c>
      <c r="B17" s="32">
        <f t="shared" si="2"/>
        <v>4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/>
    </row>
    <row r="18" spans="1:13" x14ac:dyDescent="0.25">
      <c r="A18" s="32">
        <f t="shared" si="1"/>
        <v>2012</v>
      </c>
      <c r="B18" s="32">
        <f t="shared" si="2"/>
        <v>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/>
    </row>
    <row r="19" spans="1:13" x14ac:dyDescent="0.25">
      <c r="A19" s="32">
        <f t="shared" si="1"/>
        <v>2012</v>
      </c>
      <c r="B19" s="32">
        <f t="shared" si="2"/>
        <v>6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/>
    </row>
    <row r="20" spans="1:13" x14ac:dyDescent="0.25">
      <c r="A20" s="32">
        <f t="shared" si="1"/>
        <v>2012</v>
      </c>
      <c r="B20" s="32">
        <f t="shared" si="2"/>
        <v>7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/>
    </row>
    <row r="21" spans="1:13" x14ac:dyDescent="0.25">
      <c r="A21" s="32">
        <f t="shared" si="1"/>
        <v>2012</v>
      </c>
      <c r="B21" s="32">
        <f t="shared" si="2"/>
        <v>8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/>
    </row>
    <row r="22" spans="1:13" x14ac:dyDescent="0.25">
      <c r="A22" s="32">
        <f t="shared" si="1"/>
        <v>2012</v>
      </c>
      <c r="B22" s="32">
        <f t="shared" si="2"/>
        <v>9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/>
    </row>
    <row r="23" spans="1:13" x14ac:dyDescent="0.25">
      <c r="A23" s="32">
        <f t="shared" si="1"/>
        <v>2012</v>
      </c>
      <c r="B23" s="32">
        <f t="shared" si="2"/>
        <v>10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/>
      <c r="M23" s="6"/>
    </row>
    <row r="24" spans="1:13" x14ac:dyDescent="0.25">
      <c r="A24" s="32">
        <f t="shared" si="1"/>
        <v>2012</v>
      </c>
      <c r="B24" s="32">
        <f t="shared" si="2"/>
        <v>11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/>
    </row>
    <row r="25" spans="1:13" x14ac:dyDescent="0.25">
      <c r="A25" s="32">
        <f t="shared" si="1"/>
        <v>2012</v>
      </c>
      <c r="B25" s="32">
        <f t="shared" si="2"/>
        <v>12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/>
    </row>
    <row r="26" spans="1:13" x14ac:dyDescent="0.25">
      <c r="A26" s="32">
        <f t="shared" si="1"/>
        <v>2013</v>
      </c>
      <c r="B26" s="32">
        <f t="shared" si="2"/>
        <v>1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/>
    </row>
    <row r="27" spans="1:13" x14ac:dyDescent="0.25">
      <c r="A27" s="32">
        <f t="shared" si="1"/>
        <v>2013</v>
      </c>
      <c r="B27" s="32">
        <f t="shared" si="2"/>
        <v>2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/>
    </row>
    <row r="28" spans="1:13" x14ac:dyDescent="0.25">
      <c r="A28" s="32">
        <f t="shared" si="1"/>
        <v>2013</v>
      </c>
      <c r="B28" s="32">
        <f t="shared" si="2"/>
        <v>3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/>
    </row>
    <row r="29" spans="1:13" x14ac:dyDescent="0.25">
      <c r="A29" s="32">
        <f t="shared" si="1"/>
        <v>2013</v>
      </c>
      <c r="B29" s="32">
        <f t="shared" si="2"/>
        <v>4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/>
    </row>
    <row r="30" spans="1:13" x14ac:dyDescent="0.25">
      <c r="A30" s="32">
        <f t="shared" si="1"/>
        <v>2013</v>
      </c>
      <c r="B30" s="32">
        <f t="shared" si="2"/>
        <v>5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/>
    </row>
    <row r="31" spans="1:13" x14ac:dyDescent="0.25">
      <c r="A31" s="32">
        <f t="shared" si="1"/>
        <v>2013</v>
      </c>
      <c r="B31" s="32">
        <f t="shared" si="2"/>
        <v>6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/>
    </row>
    <row r="32" spans="1:13" x14ac:dyDescent="0.25">
      <c r="A32" s="32">
        <f t="shared" si="1"/>
        <v>2013</v>
      </c>
      <c r="B32" s="32">
        <f t="shared" si="2"/>
        <v>7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/>
    </row>
    <row r="33" spans="1:10" x14ac:dyDescent="0.25">
      <c r="A33" s="32">
        <f t="shared" si="1"/>
        <v>2013</v>
      </c>
      <c r="B33" s="32">
        <f t="shared" si="2"/>
        <v>8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/>
    </row>
    <row r="34" spans="1:10" x14ac:dyDescent="0.25">
      <c r="A34" s="32">
        <f t="shared" si="1"/>
        <v>2013</v>
      </c>
      <c r="B34" s="32">
        <f t="shared" si="2"/>
        <v>9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/>
    </row>
    <row r="35" spans="1:10" x14ac:dyDescent="0.25">
      <c r="A35" s="32">
        <f t="shared" si="1"/>
        <v>2013</v>
      </c>
      <c r="B35" s="32">
        <f t="shared" si="2"/>
        <v>10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/>
    </row>
    <row r="36" spans="1:10" x14ac:dyDescent="0.25">
      <c r="A36" s="32">
        <f t="shared" si="1"/>
        <v>2013</v>
      </c>
      <c r="B36" s="32">
        <f t="shared" si="2"/>
        <v>11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/>
    </row>
    <row r="37" spans="1:10" x14ac:dyDescent="0.25">
      <c r="A37" s="32">
        <f t="shared" si="1"/>
        <v>2013</v>
      </c>
      <c r="B37" s="32">
        <f t="shared" si="2"/>
        <v>12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/>
    </row>
    <row r="38" spans="1:10" x14ac:dyDescent="0.25">
      <c r="A38" s="32">
        <f t="shared" si="1"/>
        <v>2014</v>
      </c>
      <c r="B38" s="32">
        <f t="shared" si="2"/>
        <v>1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/>
    </row>
    <row r="39" spans="1:10" x14ac:dyDescent="0.25">
      <c r="A39" s="32">
        <f t="shared" si="1"/>
        <v>2014</v>
      </c>
      <c r="B39" s="32">
        <f t="shared" si="2"/>
        <v>2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/>
    </row>
    <row r="40" spans="1:10" x14ac:dyDescent="0.25">
      <c r="A40" s="32">
        <f t="shared" si="1"/>
        <v>2014</v>
      </c>
      <c r="B40" s="32">
        <f t="shared" si="2"/>
        <v>3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/>
    </row>
    <row r="41" spans="1:10" x14ac:dyDescent="0.25">
      <c r="A41" s="32">
        <f t="shared" si="1"/>
        <v>2014</v>
      </c>
      <c r="B41" s="32">
        <f t="shared" si="2"/>
        <v>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/>
    </row>
    <row r="42" spans="1:10" x14ac:dyDescent="0.25">
      <c r="A42" s="32">
        <f t="shared" si="1"/>
        <v>2014</v>
      </c>
      <c r="B42" s="32">
        <f t="shared" si="2"/>
        <v>5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/>
    </row>
    <row r="43" spans="1:10" x14ac:dyDescent="0.25">
      <c r="A43" s="32">
        <f t="shared" si="1"/>
        <v>2014</v>
      </c>
      <c r="B43" s="32">
        <f t="shared" si="2"/>
        <v>6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/>
    </row>
    <row r="44" spans="1:10" x14ac:dyDescent="0.25">
      <c r="A44" s="32">
        <f t="shared" si="1"/>
        <v>2014</v>
      </c>
      <c r="B44" s="32">
        <f t="shared" si="2"/>
        <v>7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/>
    </row>
    <row r="45" spans="1:10" x14ac:dyDescent="0.25">
      <c r="A45" s="32">
        <f t="shared" si="1"/>
        <v>2014</v>
      </c>
      <c r="B45" s="32">
        <f t="shared" si="2"/>
        <v>8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/>
    </row>
    <row r="46" spans="1:10" x14ac:dyDescent="0.25">
      <c r="A46" s="32">
        <f t="shared" si="1"/>
        <v>2014</v>
      </c>
      <c r="B46" s="32">
        <f t="shared" si="2"/>
        <v>9</v>
      </c>
      <c r="C46" s="36">
        <f>0.5*AllSavings!C46</f>
        <v>815.38461538461547</v>
      </c>
      <c r="D46" s="36">
        <f>0.5*AllSavings!D46</f>
        <v>158.90071250263725</v>
      </c>
      <c r="E46" s="36">
        <f>0.5*AllSavings!E46</f>
        <v>81.538461538461547</v>
      </c>
      <c r="F46" s="36">
        <f>0.5*AllSavings!F46</f>
        <v>574.94544134351679</v>
      </c>
      <c r="G46" s="36">
        <f>0.5*AllSavings!G46</f>
        <v>273.96558573829003</v>
      </c>
      <c r="H46" s="36">
        <f>0.5*AllSavings!H46</f>
        <v>231.56553966961823</v>
      </c>
      <c r="I46" s="36">
        <f>0.5*AllSavings!I46</f>
        <v>69.414315935608528</v>
      </c>
      <c r="J46" s="25"/>
    </row>
    <row r="47" spans="1:10" x14ac:dyDescent="0.25">
      <c r="A47" s="32">
        <f t="shared" si="1"/>
        <v>2014</v>
      </c>
      <c r="B47" s="32">
        <f t="shared" si="2"/>
        <v>10</v>
      </c>
      <c r="C47" s="36">
        <f>0.5*AllSavings!C47</f>
        <v>905.98290598290612</v>
      </c>
      <c r="D47" s="36">
        <f>0.5*AllSavings!D47</f>
        <v>176.55634722515251</v>
      </c>
      <c r="E47" s="36">
        <f>0.5*AllSavings!E47</f>
        <v>90.598290598290617</v>
      </c>
      <c r="F47" s="36">
        <f>0.5*AllSavings!F47</f>
        <v>638.82826815946305</v>
      </c>
      <c r="G47" s="36">
        <f>0.5*AllSavings!G47</f>
        <v>304.40620637587779</v>
      </c>
      <c r="H47" s="36">
        <f>0.5*AllSavings!H47</f>
        <v>257.29504407735357</v>
      </c>
      <c r="I47" s="36">
        <f>0.5*AllSavings!I47</f>
        <v>77.127017706231698</v>
      </c>
      <c r="J47" s="25"/>
    </row>
    <row r="48" spans="1:10" x14ac:dyDescent="0.25">
      <c r="A48" s="32">
        <f t="shared" si="1"/>
        <v>2014</v>
      </c>
      <c r="B48" s="32">
        <f t="shared" si="2"/>
        <v>11</v>
      </c>
      <c r="C48" s="36">
        <f>0.5*AllSavings!C48</f>
        <v>996.58119658119665</v>
      </c>
      <c r="D48" s="36">
        <f>0.5*AllSavings!D48</f>
        <v>194.21198194766774</v>
      </c>
      <c r="E48" s="36">
        <f>0.5*AllSavings!E48</f>
        <v>99.658119658119674</v>
      </c>
      <c r="F48" s="36">
        <f>0.5*AllSavings!F48</f>
        <v>702.71109497540931</v>
      </c>
      <c r="G48" s="36">
        <f>0.5*AllSavings!G48</f>
        <v>334.84682701346554</v>
      </c>
      <c r="H48" s="36">
        <f>0.5*AllSavings!H48</f>
        <v>283.02454848508893</v>
      </c>
      <c r="I48" s="36">
        <f>0.5*AllSavings!I48</f>
        <v>84.839719476854853</v>
      </c>
      <c r="J48" s="25"/>
    </row>
    <row r="49" spans="1:11" x14ac:dyDescent="0.25">
      <c r="A49" s="32">
        <f t="shared" si="1"/>
        <v>2014</v>
      </c>
      <c r="B49" s="32">
        <f t="shared" si="2"/>
        <v>12</v>
      </c>
      <c r="C49" s="36">
        <f>0.5*AllSavings!C49</f>
        <v>1087.1794871794873</v>
      </c>
      <c r="D49" s="36">
        <f>0.5*AllSavings!D49</f>
        <v>211.867616670183</v>
      </c>
      <c r="E49" s="36">
        <f>0.5*AllSavings!E49</f>
        <v>108.71794871794873</v>
      </c>
      <c r="F49" s="36">
        <f>0.5*AllSavings!F49</f>
        <v>766.59392179135568</v>
      </c>
      <c r="G49" s="36">
        <f>0.5*AllSavings!G49</f>
        <v>365.28744765105336</v>
      </c>
      <c r="H49" s="36">
        <f>0.5*AllSavings!H49</f>
        <v>308.75405289282429</v>
      </c>
      <c r="I49" s="36">
        <f>0.5*AllSavings!I49</f>
        <v>92.552421247478037</v>
      </c>
      <c r="J49" s="25"/>
    </row>
    <row r="50" spans="1:11" x14ac:dyDescent="0.25">
      <c r="A50" s="32">
        <f t="shared" si="1"/>
        <v>2015</v>
      </c>
      <c r="B50" s="32">
        <f t="shared" si="2"/>
        <v>1</v>
      </c>
      <c r="C50" s="36">
        <f>0.5*AllSavings!C50</f>
        <v>1304.3803418803423</v>
      </c>
      <c r="D50" s="36">
        <f>0.5*AllSavings!D50</f>
        <v>199.72294241482302</v>
      </c>
      <c r="E50" s="36">
        <f>0.5*AllSavings!E50</f>
        <v>130.43803418803424</v>
      </c>
      <c r="F50" s="36">
        <f>0.5*AllSavings!F50</f>
        <v>974.21936527748505</v>
      </c>
      <c r="G50" s="36">
        <f>0.5*AllSavings!G50</f>
        <v>457.63408378655924</v>
      </c>
      <c r="H50" s="36">
        <f>0.5*AllSavings!H50</f>
        <v>398.38452193811042</v>
      </c>
      <c r="I50" s="36">
        <f>0.5*AllSavings!I50</f>
        <v>118.20075955281544</v>
      </c>
      <c r="J50" s="25"/>
    </row>
    <row r="51" spans="1:11" x14ac:dyDescent="0.25">
      <c r="A51" s="32">
        <f t="shared" si="1"/>
        <v>2015</v>
      </c>
      <c r="B51" s="32">
        <f t="shared" si="2"/>
        <v>2</v>
      </c>
      <c r="C51" s="36">
        <f>0.5*AllSavings!C51</f>
        <v>1430.9829059829065</v>
      </c>
      <c r="D51" s="36">
        <f>0.5*AllSavings!D51</f>
        <v>222.77921816297925</v>
      </c>
      <c r="E51" s="36">
        <f>0.5*AllSavings!E51</f>
        <v>143.09829059829065</v>
      </c>
      <c r="F51" s="36">
        <f>0.5*AllSavings!F51</f>
        <v>1065.1053972216364</v>
      </c>
      <c r="G51" s="36">
        <f>0.5*AllSavings!G51</f>
        <v>500.74649362238694</v>
      </c>
      <c r="H51" s="36">
        <f>0.5*AllSavings!H51</f>
        <v>435.16804807876861</v>
      </c>
      <c r="I51" s="36">
        <f>0.5*AllSavings!I51</f>
        <v>129.19085552048102</v>
      </c>
      <c r="J51" s="25"/>
    </row>
    <row r="52" spans="1:11" x14ac:dyDescent="0.25">
      <c r="A52" s="32">
        <f t="shared" si="1"/>
        <v>2015</v>
      </c>
      <c r="B52" s="32">
        <f t="shared" si="2"/>
        <v>3</v>
      </c>
      <c r="C52" s="36">
        <f>0.5*AllSavings!C52</f>
        <v>1557.5854700854704</v>
      </c>
      <c r="D52" s="36">
        <f>0.5*AllSavings!D52</f>
        <v>245.83549391113553</v>
      </c>
      <c r="E52" s="36">
        <f>0.5*AllSavings!E52</f>
        <v>155.75854700854705</v>
      </c>
      <c r="F52" s="36">
        <f>0.5*AllSavings!F52</f>
        <v>1155.9914291657878</v>
      </c>
      <c r="G52" s="36">
        <f>0.5*AllSavings!G52</f>
        <v>543.85890345821463</v>
      </c>
      <c r="H52" s="36">
        <f>0.5*AllSavings!H52</f>
        <v>471.95157421942679</v>
      </c>
      <c r="I52" s="36">
        <f>0.5*AllSavings!I52</f>
        <v>140.1809514881466</v>
      </c>
      <c r="J52" s="25"/>
    </row>
    <row r="53" spans="1:11" x14ac:dyDescent="0.25">
      <c r="A53" s="32">
        <f t="shared" si="1"/>
        <v>2015</v>
      </c>
      <c r="B53" s="32">
        <f t="shared" si="2"/>
        <v>4</v>
      </c>
      <c r="C53" s="36">
        <f>0.5*AllSavings!C53</f>
        <v>1684.1880341880344</v>
      </c>
      <c r="D53" s="36">
        <f>0.5*AllSavings!D53</f>
        <v>268.89176965929181</v>
      </c>
      <c r="E53" s="36">
        <f>0.5*AllSavings!E53</f>
        <v>168.41880341880346</v>
      </c>
      <c r="F53" s="36">
        <f>0.5*AllSavings!F53</f>
        <v>1246.8774611099393</v>
      </c>
      <c r="G53" s="36">
        <f>0.5*AllSavings!G53</f>
        <v>586.97131329404226</v>
      </c>
      <c r="H53" s="36">
        <f>0.5*AllSavings!H53</f>
        <v>508.73510036008497</v>
      </c>
      <c r="I53" s="36">
        <f>0.5*AllSavings!I53</f>
        <v>151.17104745581216</v>
      </c>
      <c r="J53" s="25"/>
      <c r="K53" s="30"/>
    </row>
    <row r="54" spans="1:11" x14ac:dyDescent="0.25">
      <c r="A54" s="32">
        <f t="shared" si="1"/>
        <v>2015</v>
      </c>
      <c r="B54" s="32">
        <f t="shared" si="2"/>
        <v>5</v>
      </c>
      <c r="C54" s="36">
        <f>0.5*AllSavings!C54</f>
        <v>1810.7905982905986</v>
      </c>
      <c r="D54" s="36">
        <f>0.5*AllSavings!D54</f>
        <v>291.94804540744809</v>
      </c>
      <c r="E54" s="36">
        <f>0.5*AllSavings!E54</f>
        <v>181.07905982905987</v>
      </c>
      <c r="F54" s="36">
        <f>0.5*AllSavings!F54</f>
        <v>1337.7634930540908</v>
      </c>
      <c r="G54" s="36">
        <f>0.5*AllSavings!G54</f>
        <v>630.0837231298699</v>
      </c>
      <c r="H54" s="36">
        <f>0.5*AllSavings!H54</f>
        <v>545.51862650074315</v>
      </c>
      <c r="I54" s="36">
        <f>0.5*AllSavings!I54</f>
        <v>162.16114342347771</v>
      </c>
      <c r="J54" s="25"/>
    </row>
    <row r="55" spans="1:11" x14ac:dyDescent="0.25">
      <c r="A55" s="32">
        <f t="shared" si="1"/>
        <v>2015</v>
      </c>
      <c r="B55" s="32">
        <f t="shared" si="2"/>
        <v>6</v>
      </c>
      <c r="C55" s="36">
        <f>0.5*AllSavings!C55</f>
        <v>1937.3931623931626</v>
      </c>
      <c r="D55" s="36">
        <f>0.5*AllSavings!D55</f>
        <v>315.00432115560432</v>
      </c>
      <c r="E55" s="36">
        <f>0.5*AllSavings!E55</f>
        <v>193.73931623931625</v>
      </c>
      <c r="F55" s="36">
        <f>0.5*AllSavings!F55</f>
        <v>1428.649524998242</v>
      </c>
      <c r="G55" s="36">
        <f>0.5*AllSavings!G55</f>
        <v>673.19613296569753</v>
      </c>
      <c r="H55" s="36">
        <f>0.5*AllSavings!H55</f>
        <v>582.30215264140134</v>
      </c>
      <c r="I55" s="36">
        <f>0.5*AllSavings!I55</f>
        <v>173.15123939114329</v>
      </c>
      <c r="J55" s="25"/>
    </row>
    <row r="56" spans="1:11" x14ac:dyDescent="0.25">
      <c r="A56" s="32">
        <f t="shared" si="1"/>
        <v>2015</v>
      </c>
      <c r="B56" s="32">
        <f t="shared" si="2"/>
        <v>7</v>
      </c>
      <c r="C56" s="36">
        <f>0.5*AllSavings!C56</f>
        <v>2063.995726495727</v>
      </c>
      <c r="D56" s="36">
        <f>0.5*AllSavings!D56</f>
        <v>338.06059690376065</v>
      </c>
      <c r="E56" s="36">
        <f>0.5*AllSavings!E56</f>
        <v>206.39957264957269</v>
      </c>
      <c r="F56" s="36">
        <f>0.5*AllSavings!F56</f>
        <v>1519.5355569423937</v>
      </c>
      <c r="G56" s="36">
        <f>0.5*AllSavings!G56</f>
        <v>716.30854280152528</v>
      </c>
      <c r="H56" s="36">
        <f>0.5*AllSavings!H56</f>
        <v>619.08567878205952</v>
      </c>
      <c r="I56" s="36">
        <f>0.5*AllSavings!I56</f>
        <v>184.1413353588089</v>
      </c>
      <c r="J56" s="25"/>
    </row>
    <row r="57" spans="1:11" x14ac:dyDescent="0.25">
      <c r="A57" s="32">
        <f t="shared" si="1"/>
        <v>2015</v>
      </c>
      <c r="B57" s="32">
        <f t="shared" si="2"/>
        <v>8</v>
      </c>
      <c r="C57" s="36">
        <f>0.5*AllSavings!C57</f>
        <v>2190.598290598291</v>
      </c>
      <c r="D57" s="36">
        <f>0.5*AllSavings!D57</f>
        <v>361.11687265191688</v>
      </c>
      <c r="E57" s="36">
        <f>0.5*AllSavings!E57</f>
        <v>219.0598290598291</v>
      </c>
      <c r="F57" s="36">
        <f>0.5*AllSavings!F57</f>
        <v>1610.4215888865451</v>
      </c>
      <c r="G57" s="36">
        <f>0.5*AllSavings!G57</f>
        <v>759.42095263735291</v>
      </c>
      <c r="H57" s="36">
        <f>0.5*AllSavings!H57</f>
        <v>655.8692049227177</v>
      </c>
      <c r="I57" s="36">
        <f>0.5*AllSavings!I57</f>
        <v>195.13143132647446</v>
      </c>
      <c r="J57" s="25"/>
    </row>
    <row r="58" spans="1:11" x14ac:dyDescent="0.25">
      <c r="A58" s="32">
        <f t="shared" si="1"/>
        <v>2015</v>
      </c>
      <c r="B58" s="32">
        <f t="shared" si="2"/>
        <v>9</v>
      </c>
      <c r="C58" s="36">
        <f>0.5*AllSavings!C58</f>
        <v>2317.200854700855</v>
      </c>
      <c r="D58" s="36">
        <f>0.5*AllSavings!D58</f>
        <v>384.17314840007316</v>
      </c>
      <c r="E58" s="36">
        <f>0.5*AllSavings!E58</f>
        <v>231.72008547008551</v>
      </c>
      <c r="F58" s="36">
        <f>0.5*AllSavings!F58</f>
        <v>1701.3076208306966</v>
      </c>
      <c r="G58" s="36">
        <f>0.5*AllSavings!G58</f>
        <v>802.53336247318066</v>
      </c>
      <c r="H58" s="36">
        <f>0.5*AllSavings!H58</f>
        <v>692.65273106337588</v>
      </c>
      <c r="I58" s="36">
        <f>0.5*AllSavings!I58</f>
        <v>206.12152729414004</v>
      </c>
      <c r="J58" s="25"/>
    </row>
    <row r="59" spans="1:11" x14ac:dyDescent="0.25">
      <c r="A59" s="32">
        <f t="shared" si="1"/>
        <v>2015</v>
      </c>
      <c r="B59" s="32">
        <f t="shared" si="2"/>
        <v>10</v>
      </c>
      <c r="C59" s="36">
        <f>0.5*AllSavings!C59</f>
        <v>2443.8034188034194</v>
      </c>
      <c r="D59" s="36">
        <f>0.5*AllSavings!D59</f>
        <v>407.22942414822944</v>
      </c>
      <c r="E59" s="36">
        <f>0.5*AllSavings!E59</f>
        <v>244.38034188034194</v>
      </c>
      <c r="F59" s="36">
        <f>0.5*AllSavings!F59</f>
        <v>1792.1936527748478</v>
      </c>
      <c r="G59" s="36">
        <f>0.5*AllSavings!G59</f>
        <v>845.64577230900818</v>
      </c>
      <c r="H59" s="36">
        <f>0.5*AllSavings!H59</f>
        <v>729.43625720403406</v>
      </c>
      <c r="I59" s="36">
        <f>0.5*AllSavings!I59</f>
        <v>217.11162326180562</v>
      </c>
      <c r="J59" s="25"/>
    </row>
    <row r="60" spans="1:11" x14ac:dyDescent="0.25">
      <c r="A60" s="32">
        <f t="shared" si="1"/>
        <v>2015</v>
      </c>
      <c r="B60" s="32">
        <f t="shared" si="2"/>
        <v>11</v>
      </c>
      <c r="C60" s="36">
        <f>0.5*AllSavings!C60</f>
        <v>2570.4059829059834</v>
      </c>
      <c r="D60" s="36">
        <f>0.5*AllSavings!D60</f>
        <v>430.28569989638572</v>
      </c>
      <c r="E60" s="36">
        <f>0.5*AllSavings!E60</f>
        <v>257.04059829059833</v>
      </c>
      <c r="F60" s="36">
        <f>0.5*AllSavings!F60</f>
        <v>1883.079684718999</v>
      </c>
      <c r="G60" s="36">
        <f>0.5*AllSavings!G60</f>
        <v>888.7581821448357</v>
      </c>
      <c r="H60" s="36">
        <f>0.5*AllSavings!H60</f>
        <v>766.21978334469225</v>
      </c>
      <c r="I60" s="36">
        <f>0.5*AllSavings!I60</f>
        <v>228.10171922947114</v>
      </c>
      <c r="J60" s="25"/>
      <c r="K60" s="30"/>
    </row>
    <row r="61" spans="1:11" x14ac:dyDescent="0.25">
      <c r="A61" s="32">
        <f t="shared" si="1"/>
        <v>2015</v>
      </c>
      <c r="B61" s="32">
        <f t="shared" si="2"/>
        <v>12</v>
      </c>
      <c r="C61" s="36">
        <f>0.5*AllSavings!C61</f>
        <v>2697.0085470085473</v>
      </c>
      <c r="D61" s="36">
        <f>0.5*AllSavings!D61</f>
        <v>453.341975644542</v>
      </c>
      <c r="E61" s="36">
        <f>0.5*AllSavings!E61</f>
        <v>269.70085470085473</v>
      </c>
      <c r="F61" s="36">
        <f>0.5*AllSavings!F61</f>
        <v>1973.9657166631505</v>
      </c>
      <c r="G61" s="36">
        <f>0.5*AllSavings!G61</f>
        <v>931.87059198066345</v>
      </c>
      <c r="H61" s="36">
        <f>0.5*AllSavings!H61</f>
        <v>803.00330948535043</v>
      </c>
      <c r="I61" s="36">
        <f>0.5*AllSavings!I61</f>
        <v>239.09181519713675</v>
      </c>
      <c r="J61" s="25"/>
    </row>
    <row r="62" spans="1:11" x14ac:dyDescent="0.25">
      <c r="A62" s="32">
        <f t="shared" si="1"/>
        <v>2016</v>
      </c>
      <c r="B62" s="32">
        <f t="shared" si="2"/>
        <v>1</v>
      </c>
      <c r="C62" s="36">
        <f>0.5*AllSavings!C62</f>
        <v>3076.8162393162393</v>
      </c>
      <c r="D62" s="36">
        <f>0.5*AllSavings!D62</f>
        <v>465.58832703020761</v>
      </c>
      <c r="E62" s="36">
        <f>0.5*AllSavings!E62</f>
        <v>307.68162393162396</v>
      </c>
      <c r="F62" s="36">
        <f>0.5*AllSavings!F62</f>
        <v>2303.5462883544078</v>
      </c>
      <c r="G62" s="36">
        <f>0.5*AllSavings!G62</f>
        <v>1077.038509645291</v>
      </c>
      <c r="H62" s="36">
        <f>0.5*AllSavings!H62</f>
        <v>947.43692771131475</v>
      </c>
      <c r="I62" s="36">
        <f>0.5*AllSavings!I62</f>
        <v>279.07085099780238</v>
      </c>
      <c r="J62" s="25"/>
      <c r="K62" s="13"/>
    </row>
    <row r="63" spans="1:11" x14ac:dyDescent="0.25">
      <c r="A63" s="32">
        <f t="shared" si="1"/>
        <v>2016</v>
      </c>
      <c r="B63" s="32">
        <f t="shared" si="2"/>
        <v>2</v>
      </c>
      <c r="C63" s="36">
        <f>0.5*AllSavings!C63</f>
        <v>3330.0213675213681</v>
      </c>
      <c r="D63" s="36">
        <f>0.5*AllSavings!D63</f>
        <v>507.63498739374847</v>
      </c>
      <c r="E63" s="36">
        <f>0.5*AllSavings!E63</f>
        <v>333.00213675213683</v>
      </c>
      <c r="F63" s="36">
        <f>0.5*AllSavings!F63</f>
        <v>2489.3842433754826</v>
      </c>
      <c r="G63" s="36">
        <f>0.5*AllSavings!G63</f>
        <v>1164.3940927567426</v>
      </c>
      <c r="H63" s="36">
        <f>0.5*AllSavings!H63</f>
        <v>1023.4384828357734</v>
      </c>
      <c r="I63" s="36">
        <f>0.5*AllSavings!I63</f>
        <v>301.55166778296712</v>
      </c>
      <c r="J63" s="25"/>
    </row>
    <row r="64" spans="1:11" x14ac:dyDescent="0.25">
      <c r="A64" s="32">
        <f t="shared" si="1"/>
        <v>2016</v>
      </c>
      <c r="B64" s="32">
        <f t="shared" si="2"/>
        <v>3</v>
      </c>
      <c r="C64" s="36">
        <f>0.5*AllSavings!C64</f>
        <v>3583.2264957264961</v>
      </c>
      <c r="D64" s="36">
        <f>0.5*AllSavings!D64</f>
        <v>549.68164775728928</v>
      </c>
      <c r="E64" s="36">
        <f>0.5*AllSavings!E64</f>
        <v>358.3226495726496</v>
      </c>
      <c r="F64" s="36">
        <f>0.5*AllSavings!F64</f>
        <v>2675.2221983965569</v>
      </c>
      <c r="G64" s="36">
        <f>0.5*AllSavings!G64</f>
        <v>1251.7496758681937</v>
      </c>
      <c r="H64" s="36">
        <f>0.5*AllSavings!H64</f>
        <v>1099.4400379602316</v>
      </c>
      <c r="I64" s="36">
        <f>0.5*AllSavings!I64</f>
        <v>324.03248456813174</v>
      </c>
      <c r="J64" s="25"/>
    </row>
    <row r="65" spans="1:10" x14ac:dyDescent="0.25">
      <c r="A65" s="32">
        <f t="shared" si="1"/>
        <v>2016</v>
      </c>
      <c r="B65" s="32">
        <f t="shared" si="2"/>
        <v>4</v>
      </c>
      <c r="C65" s="36">
        <f>0.5*AllSavings!C65</f>
        <v>3836.431623931624</v>
      </c>
      <c r="D65" s="36">
        <f>0.5*AllSavings!D65</f>
        <v>591.72830812083021</v>
      </c>
      <c r="E65" s="36">
        <f>0.5*AllSavings!E65</f>
        <v>383.64316239316247</v>
      </c>
      <c r="F65" s="36">
        <f>0.5*AllSavings!F65</f>
        <v>2861.0601534176317</v>
      </c>
      <c r="G65" s="36">
        <f>0.5*AllSavings!G65</f>
        <v>1339.1052589796452</v>
      </c>
      <c r="H65" s="36">
        <f>0.5*AllSavings!H65</f>
        <v>1175.4415930846903</v>
      </c>
      <c r="I65" s="36">
        <f>0.5*AllSavings!I65</f>
        <v>346.51330135329636</v>
      </c>
      <c r="J65" s="25"/>
    </row>
    <row r="66" spans="1:10" x14ac:dyDescent="0.25">
      <c r="A66" s="32">
        <f t="shared" si="1"/>
        <v>2016</v>
      </c>
      <c r="B66" s="32">
        <f t="shared" si="2"/>
        <v>5</v>
      </c>
      <c r="C66" s="36">
        <f>0.5*AllSavings!C66</f>
        <v>4089.6367521367524</v>
      </c>
      <c r="D66" s="36">
        <f>0.5*AllSavings!D66</f>
        <v>633.77496848437113</v>
      </c>
      <c r="E66" s="36">
        <f>0.5*AllSavings!E66</f>
        <v>408.96367521367529</v>
      </c>
      <c r="F66" s="36">
        <f>0.5*AllSavings!F66</f>
        <v>3046.898108438706</v>
      </c>
      <c r="G66" s="36">
        <f>0.5*AllSavings!G66</f>
        <v>1426.4608420910963</v>
      </c>
      <c r="H66" s="36">
        <f>0.5*AllSavings!H66</f>
        <v>1251.4431482091488</v>
      </c>
      <c r="I66" s="36">
        <f>0.5*AllSavings!I66</f>
        <v>368.99411813846098</v>
      </c>
      <c r="J66" s="25"/>
    </row>
    <row r="67" spans="1:10" x14ac:dyDescent="0.25">
      <c r="A67" s="32">
        <f t="shared" si="1"/>
        <v>2016</v>
      </c>
      <c r="B67" s="32">
        <f t="shared" si="2"/>
        <v>6</v>
      </c>
      <c r="C67" s="36">
        <f>0.5*AllSavings!C67</f>
        <v>4342.8418803418808</v>
      </c>
      <c r="D67" s="36">
        <f>0.5*AllSavings!D67</f>
        <v>675.82162884791205</v>
      </c>
      <c r="E67" s="36">
        <f>0.5*AllSavings!E67</f>
        <v>434.28418803418805</v>
      </c>
      <c r="F67" s="36">
        <f>0.5*AllSavings!F67</f>
        <v>3232.7360634597803</v>
      </c>
      <c r="G67" s="36">
        <f>0.5*AllSavings!G67</f>
        <v>1513.8164252025479</v>
      </c>
      <c r="H67" s="36">
        <f>0.5*AllSavings!H67</f>
        <v>1327.4447033336073</v>
      </c>
      <c r="I67" s="36">
        <f>0.5*AllSavings!I67</f>
        <v>391.4749349236256</v>
      </c>
      <c r="J67" s="25"/>
    </row>
    <row r="68" spans="1:10" x14ac:dyDescent="0.25">
      <c r="A68" s="32">
        <f t="shared" si="1"/>
        <v>2016</v>
      </c>
      <c r="B68" s="32">
        <f t="shared" si="2"/>
        <v>7</v>
      </c>
      <c r="C68" s="36">
        <f>0.5*AllSavings!C68</f>
        <v>4596.0470085470097</v>
      </c>
      <c r="D68" s="36">
        <f>0.5*AllSavings!D68</f>
        <v>717.86828921145297</v>
      </c>
      <c r="E68" s="36">
        <f>0.5*AllSavings!E68</f>
        <v>459.60470085470092</v>
      </c>
      <c r="F68" s="36">
        <f>0.5*AllSavings!F68</f>
        <v>3418.5740184808556</v>
      </c>
      <c r="G68" s="36">
        <f>0.5*AllSavings!G68</f>
        <v>1601.1720083139994</v>
      </c>
      <c r="H68" s="36">
        <f>0.5*AllSavings!H68</f>
        <v>1403.446258458066</v>
      </c>
      <c r="I68" s="36">
        <f>0.5*AllSavings!I68</f>
        <v>413.95575170879033</v>
      </c>
      <c r="J68" s="25"/>
    </row>
    <row r="69" spans="1:10" x14ac:dyDescent="0.25">
      <c r="A69" s="32">
        <f t="shared" si="1"/>
        <v>2016</v>
      </c>
      <c r="B69" s="32">
        <f t="shared" si="2"/>
        <v>8</v>
      </c>
      <c r="C69" s="36">
        <f>0.5*AllSavings!C69</f>
        <v>4849.2521367521367</v>
      </c>
      <c r="D69" s="36">
        <f>0.5*AllSavings!D69</f>
        <v>759.91494957499378</v>
      </c>
      <c r="E69" s="36">
        <f>0.5*AllSavings!E69</f>
        <v>484.92521367521374</v>
      </c>
      <c r="F69" s="36">
        <f>0.5*AllSavings!F69</f>
        <v>3604.4119735019299</v>
      </c>
      <c r="G69" s="36">
        <f>0.5*AllSavings!G69</f>
        <v>1688.5275914254507</v>
      </c>
      <c r="H69" s="36">
        <f>0.5*AllSavings!H69</f>
        <v>1479.4478135825243</v>
      </c>
      <c r="I69" s="36">
        <f>0.5*AllSavings!I69</f>
        <v>436.43656849395495</v>
      </c>
      <c r="J69" s="25"/>
    </row>
    <row r="70" spans="1:10" x14ac:dyDescent="0.25">
      <c r="A70" s="32">
        <f t="shared" si="1"/>
        <v>2016</v>
      </c>
      <c r="B70" s="32">
        <f t="shared" si="2"/>
        <v>9</v>
      </c>
      <c r="C70" s="36">
        <f>0.5*AllSavings!C70</f>
        <v>5102.4572649572656</v>
      </c>
      <c r="D70" s="36">
        <f>0.5*AllSavings!D70</f>
        <v>801.96160993853459</v>
      </c>
      <c r="E70" s="36">
        <f>0.5*AllSavings!E70</f>
        <v>510.24572649572656</v>
      </c>
      <c r="F70" s="36">
        <f>0.5*AllSavings!F70</f>
        <v>3790.2499285230042</v>
      </c>
      <c r="G70" s="36">
        <f>0.5*AllSavings!G70</f>
        <v>1775.8831745369021</v>
      </c>
      <c r="H70" s="36">
        <f>0.5*AllSavings!H70</f>
        <v>1555.4493687069828</v>
      </c>
      <c r="I70" s="36">
        <f>0.5*AllSavings!I70</f>
        <v>458.91738527911957</v>
      </c>
      <c r="J70" s="25"/>
    </row>
    <row r="71" spans="1:10" x14ac:dyDescent="0.25">
      <c r="A71" s="32">
        <f t="shared" si="1"/>
        <v>2016</v>
      </c>
      <c r="B71" s="32">
        <f t="shared" si="2"/>
        <v>10</v>
      </c>
      <c r="C71" s="36">
        <f>0.5*AllSavings!C71</f>
        <v>5355.6623931623944</v>
      </c>
      <c r="D71" s="36">
        <f>0.5*AllSavings!D71</f>
        <v>844.00827030207563</v>
      </c>
      <c r="E71" s="36">
        <f>0.5*AllSavings!E71</f>
        <v>535.56623931623938</v>
      </c>
      <c r="F71" s="36">
        <f>0.5*AllSavings!F71</f>
        <v>3976.087883544079</v>
      </c>
      <c r="G71" s="36">
        <f>0.5*AllSavings!G71</f>
        <v>1863.2387576483534</v>
      </c>
      <c r="H71" s="36">
        <f>0.5*AllSavings!H71</f>
        <v>1631.4509238314413</v>
      </c>
      <c r="I71" s="36">
        <f>0.5*AllSavings!I71</f>
        <v>481.39820206428425</v>
      </c>
      <c r="J71" s="25"/>
    </row>
    <row r="72" spans="1:10" x14ac:dyDescent="0.25">
      <c r="A72" s="32">
        <f t="shared" si="1"/>
        <v>2016</v>
      </c>
      <c r="B72" s="32">
        <f t="shared" si="2"/>
        <v>11</v>
      </c>
      <c r="C72" s="36">
        <f>0.5*AllSavings!C72</f>
        <v>5608.8675213675215</v>
      </c>
      <c r="D72" s="36">
        <f>0.5*AllSavings!D72</f>
        <v>886.05493066561644</v>
      </c>
      <c r="E72" s="36">
        <f>0.5*AllSavings!E72</f>
        <v>560.88675213675219</v>
      </c>
      <c r="F72" s="36">
        <f>0.5*AllSavings!F72</f>
        <v>4161.9258385651519</v>
      </c>
      <c r="G72" s="36">
        <f>0.5*AllSavings!G72</f>
        <v>1950.5943407598043</v>
      </c>
      <c r="H72" s="36">
        <f>0.5*AllSavings!H72</f>
        <v>1707.4524789558996</v>
      </c>
      <c r="I72" s="36">
        <f>0.5*AllSavings!I72</f>
        <v>503.87901884944876</v>
      </c>
      <c r="J72" s="25"/>
    </row>
    <row r="73" spans="1:10" x14ac:dyDescent="0.25">
      <c r="A73" s="32">
        <f t="shared" si="1"/>
        <v>2016</v>
      </c>
      <c r="B73" s="32">
        <f t="shared" si="2"/>
        <v>12</v>
      </c>
      <c r="C73" s="36">
        <f>0.5*AllSavings!C73</f>
        <v>5862.0726495726503</v>
      </c>
      <c r="D73" s="36">
        <f>0.5*AllSavings!D73</f>
        <v>928.10159102915736</v>
      </c>
      <c r="E73" s="36">
        <f>0.5*AllSavings!E73</f>
        <v>586.20726495726501</v>
      </c>
      <c r="F73" s="36">
        <f>0.5*AllSavings!F73</f>
        <v>4347.7637935862276</v>
      </c>
      <c r="G73" s="36">
        <f>0.5*AllSavings!G73</f>
        <v>2037.949923871256</v>
      </c>
      <c r="H73" s="36">
        <f>0.5*AllSavings!H73</f>
        <v>1783.4540340803583</v>
      </c>
      <c r="I73" s="36">
        <f>0.5*AllSavings!I73</f>
        <v>526.35983563461355</v>
      </c>
      <c r="J73" s="25"/>
    </row>
    <row r="74" spans="1:10" x14ac:dyDescent="0.25">
      <c r="A74" s="32">
        <f t="shared" si="1"/>
        <v>2017</v>
      </c>
      <c r="B74" s="32">
        <f t="shared" si="2"/>
        <v>1</v>
      </c>
      <c r="C74" s="36">
        <f>0.5*AllSavings!C74</f>
        <v>6368.4829059829062</v>
      </c>
      <c r="D74" s="36">
        <f>0.5*AllSavings!D74</f>
        <v>959.33832703020755</v>
      </c>
      <c r="E74" s="36">
        <f>0.5*AllSavings!E74</f>
        <v>636.84829059829065</v>
      </c>
      <c r="F74" s="36">
        <f>0.5*AllSavings!F74</f>
        <v>4772.2962883544078</v>
      </c>
      <c r="G74" s="36">
        <f>0.5*AllSavings!G74</f>
        <v>2214.6904097346205</v>
      </c>
      <c r="H74" s="36">
        <f>0.5*AllSavings!H74</f>
        <v>1979.405152461718</v>
      </c>
      <c r="I74" s="36">
        <f>0.5*AllSavings!I74</f>
        <v>578.20072615806907</v>
      </c>
      <c r="J74" s="25"/>
    </row>
    <row r="75" spans="1:10" x14ac:dyDescent="0.25">
      <c r="A75" s="32">
        <f t="shared" si="1"/>
        <v>2017</v>
      </c>
      <c r="B75" s="32">
        <f t="shared" si="2"/>
        <v>2</v>
      </c>
      <c r="C75" s="36">
        <f>0.5*AllSavings!C75</f>
        <v>6621.6880341880351</v>
      </c>
      <c r="D75" s="36">
        <f>0.5*AllSavings!D75</f>
        <v>1001.3849873937484</v>
      </c>
      <c r="E75" s="36">
        <f>0.5*AllSavings!E75</f>
        <v>662.16880341880346</v>
      </c>
      <c r="F75" s="36">
        <f>0.5*AllSavings!F75</f>
        <v>4958.1342433754826</v>
      </c>
      <c r="G75" s="36">
        <f>0.5*AllSavings!G75</f>
        <v>2302.0459928460723</v>
      </c>
      <c r="H75" s="36">
        <f>0.5*AllSavings!H75</f>
        <v>2055.4067075861767</v>
      </c>
      <c r="I75" s="36">
        <f>0.5*AllSavings!I75</f>
        <v>600.68154294323381</v>
      </c>
      <c r="J75" s="25"/>
    </row>
    <row r="76" spans="1:10" x14ac:dyDescent="0.25">
      <c r="A76" s="32">
        <f t="shared" si="1"/>
        <v>2017</v>
      </c>
      <c r="B76" s="32">
        <f t="shared" si="2"/>
        <v>3</v>
      </c>
      <c r="C76" s="36">
        <f>0.5*AllSavings!C76</f>
        <v>6874.8931623931621</v>
      </c>
      <c r="D76" s="36">
        <f>0.5*AllSavings!D76</f>
        <v>1043.4316477572893</v>
      </c>
      <c r="E76" s="36">
        <f>0.5*AllSavings!E76</f>
        <v>687.48931623931628</v>
      </c>
      <c r="F76" s="36">
        <f>0.5*AllSavings!F76</f>
        <v>5143.9721983965574</v>
      </c>
      <c r="G76" s="36">
        <f>0.5*AllSavings!G76</f>
        <v>2389.4015759575232</v>
      </c>
      <c r="H76" s="36">
        <f>0.5*AllSavings!H76</f>
        <v>2131.408262710635</v>
      </c>
      <c r="I76" s="36">
        <f>0.5*AllSavings!I76</f>
        <v>623.16235972839831</v>
      </c>
      <c r="J76" s="25"/>
    </row>
    <row r="77" spans="1:10" x14ac:dyDescent="0.25">
      <c r="A77" s="32">
        <f t="shared" si="1"/>
        <v>2017</v>
      </c>
      <c r="B77" s="32">
        <f t="shared" si="2"/>
        <v>4</v>
      </c>
      <c r="C77" s="36">
        <f>0.5*AllSavings!C77</f>
        <v>7128.098290598291</v>
      </c>
      <c r="D77" s="36">
        <f>0.5*AllSavings!D77</f>
        <v>1085.4783081208302</v>
      </c>
      <c r="E77" s="36">
        <f>0.5*AllSavings!E77</f>
        <v>712.8098290598291</v>
      </c>
      <c r="F77" s="36">
        <f>0.5*AllSavings!F77</f>
        <v>5329.8101534176312</v>
      </c>
      <c r="G77" s="36">
        <f>0.5*AllSavings!G77</f>
        <v>2476.7571590689749</v>
      </c>
      <c r="H77" s="36">
        <f>0.5*AllSavings!H77</f>
        <v>2207.4098178350937</v>
      </c>
      <c r="I77" s="36">
        <f>0.5*AllSavings!I77</f>
        <v>645.64317651356305</v>
      </c>
      <c r="J77" s="25"/>
    </row>
    <row r="78" spans="1:10" x14ac:dyDescent="0.25">
      <c r="A78" s="32">
        <f t="shared" si="1"/>
        <v>2017</v>
      </c>
      <c r="B78" s="32">
        <f t="shared" si="2"/>
        <v>5</v>
      </c>
      <c r="C78" s="36">
        <f>0.5*AllSavings!C78</f>
        <v>7381.3034188034189</v>
      </c>
      <c r="D78" s="36">
        <f>0.5*AllSavings!D78</f>
        <v>1127.5249684843711</v>
      </c>
      <c r="E78" s="36">
        <f>0.5*AllSavings!E78</f>
        <v>738.13034188034203</v>
      </c>
      <c r="F78" s="36">
        <f>0.5*AllSavings!F78</f>
        <v>5515.648108438706</v>
      </c>
      <c r="G78" s="36">
        <f>0.5*AllSavings!G78</f>
        <v>2564.1127421804258</v>
      </c>
      <c r="H78" s="36">
        <f>0.5*AllSavings!H78</f>
        <v>2283.411372959552</v>
      </c>
      <c r="I78" s="36">
        <f>0.5*AllSavings!I78</f>
        <v>668.12399329872756</v>
      </c>
      <c r="J78" s="25"/>
    </row>
    <row r="79" spans="1:10" x14ac:dyDescent="0.25">
      <c r="A79" s="32">
        <f t="shared" ref="A79:A121" si="3">A67+1</f>
        <v>2017</v>
      </c>
      <c r="B79" s="32">
        <f t="shared" ref="B79:B121" si="4">B67</f>
        <v>6</v>
      </c>
      <c r="C79" s="36">
        <f>0.5*AllSavings!C79</f>
        <v>7634.5085470085469</v>
      </c>
      <c r="D79" s="36">
        <f>0.5*AllSavings!D79</f>
        <v>1169.5716288479121</v>
      </c>
      <c r="E79" s="36">
        <f>0.5*AllSavings!E79</f>
        <v>763.45085470085473</v>
      </c>
      <c r="F79" s="36">
        <f>0.5*AllSavings!F79</f>
        <v>5701.4860634597808</v>
      </c>
      <c r="G79" s="36">
        <f>0.5*AllSavings!G79</f>
        <v>2651.4683252918776</v>
      </c>
      <c r="H79" s="36">
        <f>0.5*AllSavings!H79</f>
        <v>2359.4129280840107</v>
      </c>
      <c r="I79" s="36">
        <f>0.5*AllSavings!I79</f>
        <v>690.60481008389229</v>
      </c>
      <c r="J79" s="25"/>
    </row>
    <row r="80" spans="1:10" x14ac:dyDescent="0.25">
      <c r="A80" s="32">
        <f t="shared" si="3"/>
        <v>2017</v>
      </c>
      <c r="B80" s="32">
        <f t="shared" si="4"/>
        <v>7</v>
      </c>
      <c r="C80" s="36">
        <f>0.5*AllSavings!C80</f>
        <v>7887.7136752136757</v>
      </c>
      <c r="D80" s="36">
        <f>0.5*AllSavings!D80</f>
        <v>1211.618289211453</v>
      </c>
      <c r="E80" s="36">
        <f>0.5*AllSavings!E80</f>
        <v>788.77136752136767</v>
      </c>
      <c r="F80" s="36">
        <f>0.5*AllSavings!F80</f>
        <v>5887.3240184808556</v>
      </c>
      <c r="G80" s="36">
        <f>0.5*AllSavings!G80</f>
        <v>2738.8239084033294</v>
      </c>
      <c r="H80" s="36">
        <f>0.5*AllSavings!H80</f>
        <v>2435.4144832084694</v>
      </c>
      <c r="I80" s="36">
        <f>0.5*AllSavings!I80</f>
        <v>713.08562686905702</v>
      </c>
      <c r="J80" s="25"/>
    </row>
    <row r="81" spans="1:10" x14ac:dyDescent="0.25">
      <c r="A81" s="32">
        <f t="shared" si="3"/>
        <v>2017</v>
      </c>
      <c r="B81" s="32">
        <f t="shared" si="4"/>
        <v>8</v>
      </c>
      <c r="C81" s="36">
        <f>0.5*AllSavings!C81</f>
        <v>8140.9188034188028</v>
      </c>
      <c r="D81" s="36">
        <f>0.5*AllSavings!D81</f>
        <v>1253.6649495749937</v>
      </c>
      <c r="E81" s="36">
        <f>0.5*AllSavings!E81</f>
        <v>814.09188034188037</v>
      </c>
      <c r="F81" s="36">
        <f>0.5*AllSavings!F81</f>
        <v>6073.1619735019303</v>
      </c>
      <c r="G81" s="36">
        <f>0.5*AllSavings!G81</f>
        <v>2826.1794915147802</v>
      </c>
      <c r="H81" s="36">
        <f>0.5*AllSavings!H81</f>
        <v>2511.4160383329277</v>
      </c>
      <c r="I81" s="36">
        <f>0.5*AllSavings!I81</f>
        <v>735.56644365422153</v>
      </c>
      <c r="J81" s="25"/>
    </row>
    <row r="82" spans="1:10" x14ac:dyDescent="0.25">
      <c r="A82" s="32">
        <f t="shared" si="3"/>
        <v>2017</v>
      </c>
      <c r="B82" s="32">
        <f t="shared" si="4"/>
        <v>9</v>
      </c>
      <c r="C82" s="36">
        <f>0.5*AllSavings!C82</f>
        <v>8394.1239316239316</v>
      </c>
      <c r="D82" s="36">
        <f>0.5*AllSavings!D82</f>
        <v>1295.7116099385346</v>
      </c>
      <c r="E82" s="36">
        <f>0.5*AllSavings!E82</f>
        <v>839.4123931623933</v>
      </c>
      <c r="F82" s="36">
        <f>0.5*AllSavings!F82</f>
        <v>6258.9999285230042</v>
      </c>
      <c r="G82" s="36">
        <f>0.5*AllSavings!G82</f>
        <v>2913.535074626232</v>
      </c>
      <c r="H82" s="36">
        <f>0.5*AllSavings!H82</f>
        <v>2587.4175934573859</v>
      </c>
      <c r="I82" s="36">
        <f>0.5*AllSavings!I82</f>
        <v>758.04726043938626</v>
      </c>
      <c r="J82" s="25"/>
    </row>
    <row r="83" spans="1:10" x14ac:dyDescent="0.25">
      <c r="A83" s="32">
        <f t="shared" si="3"/>
        <v>2017</v>
      </c>
      <c r="B83" s="32">
        <f t="shared" si="4"/>
        <v>10</v>
      </c>
      <c r="C83" s="36">
        <f>0.5*AllSavings!C83</f>
        <v>8647.3290598290605</v>
      </c>
      <c r="D83" s="36">
        <f>0.5*AllSavings!D83</f>
        <v>1337.7582703020755</v>
      </c>
      <c r="E83" s="36">
        <f>0.5*AllSavings!E83</f>
        <v>864.732905982906</v>
      </c>
      <c r="F83" s="36">
        <f>0.5*AllSavings!F83</f>
        <v>6444.837883544079</v>
      </c>
      <c r="G83" s="36">
        <f>0.5*AllSavings!G83</f>
        <v>3000.8906577376829</v>
      </c>
      <c r="H83" s="36">
        <f>0.5*AllSavings!H83</f>
        <v>2663.4191485818446</v>
      </c>
      <c r="I83" s="36">
        <f>0.5*AllSavings!I83</f>
        <v>780.52807722455088</v>
      </c>
      <c r="J83" s="25"/>
    </row>
    <row r="84" spans="1:10" x14ac:dyDescent="0.25">
      <c r="A84" s="32">
        <f t="shared" si="3"/>
        <v>2017</v>
      </c>
      <c r="B84" s="32">
        <f t="shared" si="4"/>
        <v>11</v>
      </c>
      <c r="C84" s="36">
        <f>0.5*AllSavings!C84</f>
        <v>8900.5341880341875</v>
      </c>
      <c r="D84" s="36">
        <f>0.5*AllSavings!D84</f>
        <v>1379.8049306656164</v>
      </c>
      <c r="E84" s="36">
        <f>0.5*AllSavings!E84</f>
        <v>890.05341880341894</v>
      </c>
      <c r="F84" s="36">
        <f>0.5*AllSavings!F84</f>
        <v>6630.6758385651519</v>
      </c>
      <c r="G84" s="36">
        <f>0.5*AllSavings!G84</f>
        <v>3088.2462408491338</v>
      </c>
      <c r="H84" s="36">
        <f>0.5*AllSavings!H84</f>
        <v>2739.4207037063029</v>
      </c>
      <c r="I84" s="36">
        <f>0.5*AllSavings!I84</f>
        <v>803.00889400971539</v>
      </c>
      <c r="J84" s="25"/>
    </row>
    <row r="85" spans="1:10" x14ac:dyDescent="0.25">
      <c r="A85" s="32">
        <f t="shared" si="3"/>
        <v>2017</v>
      </c>
      <c r="B85" s="32">
        <f t="shared" si="4"/>
        <v>12</v>
      </c>
      <c r="C85" s="36">
        <f>0.5*AllSavings!C85</f>
        <v>9153.7393162393164</v>
      </c>
      <c r="D85" s="36">
        <f>0.5*AllSavings!D85</f>
        <v>1421.8515910291574</v>
      </c>
      <c r="E85" s="36">
        <f>0.5*AllSavings!E85</f>
        <v>915.37393162393164</v>
      </c>
      <c r="F85" s="36">
        <f>0.5*AllSavings!F85</f>
        <v>6816.5137935862276</v>
      </c>
      <c r="G85" s="36">
        <f>0.5*AllSavings!G85</f>
        <v>3175.6018239605855</v>
      </c>
      <c r="H85" s="36">
        <f>0.5*AllSavings!H85</f>
        <v>2815.4222588307616</v>
      </c>
      <c r="I85" s="36">
        <f>0.5*AllSavings!I85</f>
        <v>825.48971079488024</v>
      </c>
      <c r="J85" s="25"/>
    </row>
    <row r="86" spans="1:10" x14ac:dyDescent="0.25">
      <c r="A86" s="32">
        <f t="shared" si="3"/>
        <v>2018</v>
      </c>
      <c r="B86" s="32">
        <f t="shared" si="4"/>
        <v>1</v>
      </c>
      <c r="C86" s="36">
        <f>0.5*AllSavings!C86</f>
        <v>9617.9487179487187</v>
      </c>
      <c r="D86" s="36">
        <f>0.5*AllSavings!D86</f>
        <v>1446.7581988250793</v>
      </c>
      <c r="E86" s="36">
        <f>0.5*AllSavings!E86</f>
        <v>961.79487179487182</v>
      </c>
      <c r="F86" s="36">
        <f>0.5*AllSavings!F86</f>
        <v>7209.3956473287662</v>
      </c>
      <c r="G86" s="36">
        <f>0.5*AllSavings!G86</f>
        <v>3328.7538126115505</v>
      </c>
      <c r="H86" s="36">
        <f>0.5*AllSavings!H86</f>
        <v>3007.6445529828261</v>
      </c>
      <c r="I86" s="36">
        <f>0.5*AllSavings!I86</f>
        <v>872.99728173438916</v>
      </c>
      <c r="J86" s="25"/>
    </row>
    <row r="87" spans="1:10" x14ac:dyDescent="0.25">
      <c r="A87" s="32">
        <f t="shared" si="3"/>
        <v>2018</v>
      </c>
      <c r="B87" s="32">
        <f t="shared" si="4"/>
        <v>2</v>
      </c>
      <c r="C87" s="36">
        <f>0.5*AllSavings!C87</f>
        <v>9828.9529914529921</v>
      </c>
      <c r="D87" s="36">
        <f>0.5*AllSavings!D87</f>
        <v>1482.474730983492</v>
      </c>
      <c r="E87" s="36">
        <f>0.5*AllSavings!E87</f>
        <v>982.89529914529919</v>
      </c>
      <c r="F87" s="36">
        <f>0.5*AllSavings!F87</f>
        <v>7363.5829613242004</v>
      </c>
      <c r="G87" s="36">
        <f>0.5*AllSavings!G87</f>
        <v>3401.6410398414841</v>
      </c>
      <c r="H87" s="36">
        <f>0.5*AllSavings!H87</f>
        <v>3070.2923496589592</v>
      </c>
      <c r="I87" s="36">
        <f>0.5*AllSavings!I87</f>
        <v>891.64957182375747</v>
      </c>
      <c r="J87" s="25"/>
    </row>
    <row r="88" spans="1:10" x14ac:dyDescent="0.25">
      <c r="A88" s="32">
        <f t="shared" si="3"/>
        <v>2018</v>
      </c>
      <c r="B88" s="32">
        <f t="shared" si="4"/>
        <v>3</v>
      </c>
      <c r="C88" s="36">
        <f>0.5*AllSavings!C88</f>
        <v>10039.957264957266</v>
      </c>
      <c r="D88" s="36">
        <f>0.5*AllSavings!D88</f>
        <v>1518.1912631419045</v>
      </c>
      <c r="E88" s="36">
        <f>0.5*AllSavings!E88</f>
        <v>1003.9957264957266</v>
      </c>
      <c r="F88" s="36">
        <f>0.5*AllSavings!F88</f>
        <v>7517.7702753196345</v>
      </c>
      <c r="G88" s="36">
        <f>0.5*AllSavings!G88</f>
        <v>3474.5282670714168</v>
      </c>
      <c r="H88" s="36">
        <f>0.5*AllSavings!H88</f>
        <v>3132.9401463350914</v>
      </c>
      <c r="I88" s="36">
        <f>0.5*AllSavings!I88</f>
        <v>910.30186191312578</v>
      </c>
      <c r="J88" s="25"/>
    </row>
    <row r="89" spans="1:10" x14ac:dyDescent="0.25">
      <c r="A89" s="32">
        <f t="shared" si="3"/>
        <v>2018</v>
      </c>
      <c r="B89" s="32">
        <f t="shared" si="4"/>
        <v>4</v>
      </c>
      <c r="C89" s="36">
        <f>0.5*AllSavings!C89</f>
        <v>10250.961538461539</v>
      </c>
      <c r="D89" s="36">
        <f>0.5*AllSavings!D89</f>
        <v>1553.9077953003175</v>
      </c>
      <c r="E89" s="36">
        <f>0.5*AllSavings!E89</f>
        <v>1025.0961538461538</v>
      </c>
      <c r="F89" s="36">
        <f>0.5*AllSavings!F89</f>
        <v>7671.9575893150668</v>
      </c>
      <c r="G89" s="36">
        <f>0.5*AllSavings!G89</f>
        <v>3547.41549430135</v>
      </c>
      <c r="H89" s="36">
        <f>0.5*AllSavings!H89</f>
        <v>3195.5879430112241</v>
      </c>
      <c r="I89" s="36">
        <f>0.5*AllSavings!I89</f>
        <v>928.95415200249408</v>
      </c>
      <c r="J89" s="25"/>
    </row>
    <row r="90" spans="1:10" x14ac:dyDescent="0.25">
      <c r="A90" s="32">
        <f t="shared" si="3"/>
        <v>2018</v>
      </c>
      <c r="B90" s="32">
        <f t="shared" si="4"/>
        <v>5</v>
      </c>
      <c r="C90" s="36">
        <f>0.5*AllSavings!C90</f>
        <v>10461.965811965812</v>
      </c>
      <c r="D90" s="36">
        <f>0.5*AllSavings!D90</f>
        <v>1589.62432745873</v>
      </c>
      <c r="E90" s="36">
        <f>0.5*AllSavings!E90</f>
        <v>1046.1965811965813</v>
      </c>
      <c r="F90" s="36">
        <f>0.5*AllSavings!F90</f>
        <v>7826.1449033105009</v>
      </c>
      <c r="G90" s="36">
        <f>0.5*AllSavings!G90</f>
        <v>3620.3027215312823</v>
      </c>
      <c r="H90" s="36">
        <f>0.5*AllSavings!H90</f>
        <v>3258.2357396873563</v>
      </c>
      <c r="I90" s="36">
        <f>0.5*AllSavings!I90</f>
        <v>947.60644209186216</v>
      </c>
      <c r="J90" s="25"/>
    </row>
    <row r="91" spans="1:10" x14ac:dyDescent="0.25">
      <c r="A91" s="32">
        <f t="shared" si="3"/>
        <v>2018</v>
      </c>
      <c r="B91" s="32">
        <f t="shared" si="4"/>
        <v>6</v>
      </c>
      <c r="C91" s="36">
        <f>0.5*AllSavings!C91</f>
        <v>10672.970085470086</v>
      </c>
      <c r="D91" s="36">
        <f>0.5*AllSavings!D91</f>
        <v>1625.3408596171428</v>
      </c>
      <c r="E91" s="36">
        <f>0.5*AllSavings!E91</f>
        <v>1067.2970085470085</v>
      </c>
      <c r="F91" s="36">
        <f>0.5*AllSavings!F91</f>
        <v>7980.3322173059341</v>
      </c>
      <c r="G91" s="36">
        <f>0.5*AllSavings!G91</f>
        <v>3693.189948761215</v>
      </c>
      <c r="H91" s="36">
        <f>0.5*AllSavings!H91</f>
        <v>3320.8835363634889</v>
      </c>
      <c r="I91" s="36">
        <f>0.5*AllSavings!I91</f>
        <v>966.25873218123047</v>
      </c>
      <c r="J91" s="25"/>
    </row>
    <row r="92" spans="1:10" x14ac:dyDescent="0.25">
      <c r="A92" s="32">
        <f t="shared" si="3"/>
        <v>2018</v>
      </c>
      <c r="B92" s="32">
        <f t="shared" si="4"/>
        <v>7</v>
      </c>
      <c r="C92" s="36">
        <f>0.5*AllSavings!C92</f>
        <v>10883.974358974359</v>
      </c>
      <c r="D92" s="36">
        <f>0.5*AllSavings!D92</f>
        <v>1661.0573917755555</v>
      </c>
      <c r="E92" s="36">
        <f>0.5*AllSavings!E92</f>
        <v>1088.397435897436</v>
      </c>
      <c r="F92" s="36">
        <f>0.5*AllSavings!F92</f>
        <v>8134.5195313013683</v>
      </c>
      <c r="G92" s="36">
        <f>0.5*AllSavings!G92</f>
        <v>3766.0771759911486</v>
      </c>
      <c r="H92" s="36">
        <f>0.5*AllSavings!H92</f>
        <v>3383.5313330396216</v>
      </c>
      <c r="I92" s="36">
        <f>0.5*AllSavings!I92</f>
        <v>984.91102227059889</v>
      </c>
      <c r="J92" s="25"/>
    </row>
    <row r="93" spans="1:10" x14ac:dyDescent="0.25">
      <c r="A93" s="32">
        <f t="shared" si="3"/>
        <v>2018</v>
      </c>
      <c r="B93" s="32">
        <f t="shared" si="4"/>
        <v>8</v>
      </c>
      <c r="C93" s="36">
        <f>0.5*AllSavings!C93</f>
        <v>11094.978632478633</v>
      </c>
      <c r="D93" s="36">
        <f>0.5*AllSavings!D93</f>
        <v>1696.773923933968</v>
      </c>
      <c r="E93" s="36">
        <f>0.5*AllSavings!E93</f>
        <v>1109.4978632478633</v>
      </c>
      <c r="F93" s="36">
        <f>0.5*AllSavings!F93</f>
        <v>8288.7068452968015</v>
      </c>
      <c r="G93" s="36">
        <f>0.5*AllSavings!G93</f>
        <v>3838.9644032210808</v>
      </c>
      <c r="H93" s="36">
        <f>0.5*AllSavings!H93</f>
        <v>3446.1791297157538</v>
      </c>
      <c r="I93" s="36">
        <f>0.5*AllSavings!I93</f>
        <v>1003.5633123599671</v>
      </c>
      <c r="J93" s="25"/>
    </row>
    <row r="94" spans="1:10" x14ac:dyDescent="0.25">
      <c r="A94" s="32">
        <f t="shared" si="3"/>
        <v>2018</v>
      </c>
      <c r="B94" s="32">
        <f t="shared" si="4"/>
        <v>9</v>
      </c>
      <c r="C94" s="36">
        <f>0.5*AllSavings!C94</f>
        <v>11305.982905982906</v>
      </c>
      <c r="D94" s="36">
        <f>0.5*AllSavings!D94</f>
        <v>1732.4904560923808</v>
      </c>
      <c r="E94" s="36">
        <f>0.5*AllSavings!E94</f>
        <v>1130.5982905982908</v>
      </c>
      <c r="F94" s="36">
        <f>0.5*AllSavings!F94</f>
        <v>8442.8941592922347</v>
      </c>
      <c r="G94" s="36">
        <f>0.5*AllSavings!G94</f>
        <v>3911.851630451014</v>
      </c>
      <c r="H94" s="36">
        <f>0.5*AllSavings!H94</f>
        <v>3508.826926391886</v>
      </c>
      <c r="I94" s="36">
        <f>0.5*AllSavings!I94</f>
        <v>1022.2156024493354</v>
      </c>
      <c r="J94" s="25"/>
    </row>
    <row r="95" spans="1:10" x14ac:dyDescent="0.25">
      <c r="A95" s="32">
        <f t="shared" si="3"/>
        <v>2018</v>
      </c>
      <c r="B95" s="32">
        <f t="shared" si="4"/>
        <v>10</v>
      </c>
      <c r="C95" s="36">
        <f>0.5*AllSavings!C95</f>
        <v>11516.98717948718</v>
      </c>
      <c r="D95" s="36">
        <f>0.5*AllSavings!D95</f>
        <v>1768.2069882507935</v>
      </c>
      <c r="E95" s="36">
        <f>0.5*AllSavings!E95</f>
        <v>1151.698717948718</v>
      </c>
      <c r="F95" s="36">
        <f>0.5*AllSavings!F95</f>
        <v>8597.0814732876679</v>
      </c>
      <c r="G95" s="36">
        <f>0.5*AllSavings!G95</f>
        <v>3984.7388576809462</v>
      </c>
      <c r="H95" s="36">
        <f>0.5*AllSavings!H95</f>
        <v>3571.4747230680186</v>
      </c>
      <c r="I95" s="36">
        <f>0.5*AllSavings!I95</f>
        <v>1040.8678925387037</v>
      </c>
      <c r="J95" s="25"/>
    </row>
    <row r="96" spans="1:10" x14ac:dyDescent="0.25">
      <c r="A96" s="32">
        <f t="shared" si="3"/>
        <v>2018</v>
      </c>
      <c r="B96" s="32">
        <f t="shared" si="4"/>
        <v>11</v>
      </c>
      <c r="C96" s="36">
        <f>0.5*AllSavings!C96</f>
        <v>11727.991452991453</v>
      </c>
      <c r="D96" s="36">
        <f>0.5*AllSavings!D96</f>
        <v>1803.9235204092063</v>
      </c>
      <c r="E96" s="36">
        <f>0.5*AllSavings!E96</f>
        <v>1172.7991452991455</v>
      </c>
      <c r="F96" s="36">
        <f>0.5*AllSavings!F96</f>
        <v>8751.2687872831011</v>
      </c>
      <c r="G96" s="36">
        <f>0.5*AllSavings!G96</f>
        <v>4057.6260849108785</v>
      </c>
      <c r="H96" s="36">
        <f>0.5*AllSavings!H96</f>
        <v>3634.1225197441508</v>
      </c>
      <c r="I96" s="36">
        <f>0.5*AllSavings!I96</f>
        <v>1059.5201826280718</v>
      </c>
      <c r="J96" s="25"/>
    </row>
    <row r="97" spans="1:10" x14ac:dyDescent="0.25">
      <c r="A97" s="32">
        <f t="shared" si="3"/>
        <v>2018</v>
      </c>
      <c r="B97" s="32">
        <f t="shared" si="4"/>
        <v>12</v>
      </c>
      <c r="C97" s="36">
        <f>0.5*AllSavings!C97</f>
        <v>11938.995726495727</v>
      </c>
      <c r="D97" s="36">
        <f>0.5*AllSavings!D97</f>
        <v>1839.6400525676188</v>
      </c>
      <c r="E97" s="36">
        <f>0.5*AllSavings!E97</f>
        <v>1193.8995726495727</v>
      </c>
      <c r="F97" s="36">
        <f>0.5*AllSavings!F97</f>
        <v>8905.4561012785343</v>
      </c>
      <c r="G97" s="36">
        <f>0.5*AllSavings!G97</f>
        <v>4130.5133121408116</v>
      </c>
      <c r="H97" s="36">
        <f>0.5*AllSavings!H97</f>
        <v>3696.7703164202831</v>
      </c>
      <c r="I97" s="36">
        <f>0.5*AllSavings!I97</f>
        <v>1078.1724727174403</v>
      </c>
      <c r="J97" s="25"/>
    </row>
    <row r="98" spans="1:10" x14ac:dyDescent="0.25">
      <c r="A98" s="32">
        <f t="shared" si="3"/>
        <v>2019</v>
      </c>
      <c r="B98" s="32">
        <f t="shared" si="4"/>
        <v>1</v>
      </c>
      <c r="C98" s="36">
        <f>0.5*AllSavings!C98</f>
        <v>12361.004273504273</v>
      </c>
      <c r="D98" s="36">
        <f>0.5*AllSavings!D98</f>
        <v>1858.2165321584125</v>
      </c>
      <c r="E98" s="36">
        <f>0.5*AllSavings!E98</f>
        <v>1236.1004273504273</v>
      </c>
      <c r="F98" s="36">
        <f>0.5*AllSavings!F98</f>
        <v>9266.6873139954332</v>
      </c>
      <c r="G98" s="36">
        <f>0.5*AllSavings!G98</f>
        <v>4263.2134259020204</v>
      </c>
      <c r="H98" s="36">
        <f>0.5*AllSavings!H98</f>
        <v>3882.3962152361578</v>
      </c>
      <c r="I98" s="36">
        <f>0.5*AllSavings!I98</f>
        <v>1121.0776728572541</v>
      </c>
      <c r="J98" s="25"/>
    </row>
    <row r="99" spans="1:10" x14ac:dyDescent="0.25">
      <c r="A99" s="32">
        <f t="shared" si="3"/>
        <v>2019</v>
      </c>
      <c r="B99" s="32">
        <f t="shared" si="4"/>
        <v>2</v>
      </c>
      <c r="C99" s="36">
        <f>0.5*AllSavings!C99</f>
        <v>12572.008547008547</v>
      </c>
      <c r="D99" s="36">
        <f>0.5*AllSavings!D99</f>
        <v>1893.9330643168253</v>
      </c>
      <c r="E99" s="36">
        <f>0.5*AllSavings!E99</f>
        <v>1257.2008547008547</v>
      </c>
      <c r="F99" s="36">
        <f>0.5*AllSavings!F99</f>
        <v>9420.8746279908664</v>
      </c>
      <c r="G99" s="36">
        <f>0.5*AllSavings!G99</f>
        <v>4336.1006531319535</v>
      </c>
      <c r="H99" s="36">
        <f>0.5*AllSavings!H99</f>
        <v>3945.0440119122909</v>
      </c>
      <c r="I99" s="36">
        <f>0.5*AllSavings!I99</f>
        <v>1139.7299629466224</v>
      </c>
      <c r="J99" s="25"/>
    </row>
    <row r="100" spans="1:10" x14ac:dyDescent="0.25">
      <c r="A100" s="32">
        <f t="shared" si="3"/>
        <v>2019</v>
      </c>
      <c r="B100" s="32">
        <f t="shared" si="4"/>
        <v>3</v>
      </c>
      <c r="C100" s="36">
        <f>0.5*AllSavings!C100</f>
        <v>12783.01282051282</v>
      </c>
      <c r="D100" s="36">
        <f>0.5*AllSavings!D100</f>
        <v>1929.6495964752378</v>
      </c>
      <c r="E100" s="36">
        <f>0.5*AllSavings!E100</f>
        <v>1278.301282051282</v>
      </c>
      <c r="F100" s="36">
        <f>0.5*AllSavings!F100</f>
        <v>9575.0619419862996</v>
      </c>
      <c r="G100" s="36">
        <f>0.5*AllSavings!G100</f>
        <v>4408.9878803618867</v>
      </c>
      <c r="H100" s="36">
        <f>0.5*AllSavings!H100</f>
        <v>4007.6918085884231</v>
      </c>
      <c r="I100" s="36">
        <f>0.5*AllSavings!I100</f>
        <v>1158.3822530359907</v>
      </c>
      <c r="J100" s="25"/>
    </row>
    <row r="101" spans="1:10" x14ac:dyDescent="0.25">
      <c r="A101" s="32">
        <f t="shared" si="3"/>
        <v>2019</v>
      </c>
      <c r="B101" s="32">
        <f t="shared" si="4"/>
        <v>4</v>
      </c>
      <c r="C101" s="36">
        <f>0.5*AllSavings!C101</f>
        <v>12994.017094017094</v>
      </c>
      <c r="D101" s="36">
        <f>0.5*AllSavings!D101</f>
        <v>1965.3661286336508</v>
      </c>
      <c r="E101" s="36">
        <f>0.5*AllSavings!E101</f>
        <v>1299.4017094017095</v>
      </c>
      <c r="F101" s="36">
        <f>0.5*AllSavings!F101</f>
        <v>9729.2492559817329</v>
      </c>
      <c r="G101" s="36">
        <f>0.5*AllSavings!G101</f>
        <v>4481.8751075918199</v>
      </c>
      <c r="H101" s="36">
        <f>0.5*AllSavings!H101</f>
        <v>4070.3396052645558</v>
      </c>
      <c r="I101" s="36">
        <f>0.5*AllSavings!I101</f>
        <v>1177.0345431253591</v>
      </c>
      <c r="J101" s="25"/>
    </row>
    <row r="102" spans="1:10" x14ac:dyDescent="0.25">
      <c r="A102" s="32">
        <f t="shared" si="3"/>
        <v>2019</v>
      </c>
      <c r="B102" s="32">
        <f t="shared" si="4"/>
        <v>5</v>
      </c>
      <c r="C102" s="36">
        <f>0.5*AllSavings!C102</f>
        <v>13205.021367521367</v>
      </c>
      <c r="D102" s="36">
        <f>0.5*AllSavings!D102</f>
        <v>2001.0826607920633</v>
      </c>
      <c r="E102" s="36">
        <f>0.5*AllSavings!E102</f>
        <v>1320.5021367521367</v>
      </c>
      <c r="F102" s="36">
        <f>0.5*AllSavings!F102</f>
        <v>9883.4365699771679</v>
      </c>
      <c r="G102" s="36">
        <f>0.5*AllSavings!G102</f>
        <v>4554.7623348217521</v>
      </c>
      <c r="H102" s="36">
        <f>0.5*AllSavings!H102</f>
        <v>4132.987401940688</v>
      </c>
      <c r="I102" s="36">
        <f>0.5*AllSavings!I102</f>
        <v>1195.6868332147271</v>
      </c>
      <c r="J102" s="25"/>
    </row>
    <row r="103" spans="1:10" x14ac:dyDescent="0.25">
      <c r="A103" s="32">
        <f t="shared" si="3"/>
        <v>2019</v>
      </c>
      <c r="B103" s="32">
        <f t="shared" si="4"/>
        <v>6</v>
      </c>
      <c r="C103" s="36">
        <f>0.5*AllSavings!C103</f>
        <v>13416.025641025641</v>
      </c>
      <c r="D103" s="36">
        <f>0.5*AllSavings!D103</f>
        <v>2036.799192950476</v>
      </c>
      <c r="E103" s="36">
        <f>0.5*AllSavings!E103</f>
        <v>1341.602564102564</v>
      </c>
      <c r="F103" s="36">
        <f>0.5*AllSavings!F103</f>
        <v>10037.623883972601</v>
      </c>
      <c r="G103" s="36">
        <f>0.5*AllSavings!G103</f>
        <v>4627.6495620516844</v>
      </c>
      <c r="H103" s="36">
        <f>0.5*AllSavings!H103</f>
        <v>4195.6351986168211</v>
      </c>
      <c r="I103" s="36">
        <f>0.5*AllSavings!I103</f>
        <v>1214.3391233040954</v>
      </c>
      <c r="J103" s="25"/>
    </row>
    <row r="104" spans="1:10" x14ac:dyDescent="0.25">
      <c r="A104" s="32">
        <f t="shared" si="3"/>
        <v>2019</v>
      </c>
      <c r="B104" s="32">
        <f t="shared" si="4"/>
        <v>7</v>
      </c>
      <c r="C104" s="36">
        <f>0.5*AllSavings!C104</f>
        <v>13627.029914529914</v>
      </c>
      <c r="D104" s="36">
        <f>0.5*AllSavings!D104</f>
        <v>2072.5157251088885</v>
      </c>
      <c r="E104" s="36">
        <f>0.5*AllSavings!E104</f>
        <v>1362.7029914529917</v>
      </c>
      <c r="F104" s="36">
        <f>0.5*AllSavings!F104</f>
        <v>10191.811197968034</v>
      </c>
      <c r="G104" s="36">
        <f>0.5*AllSavings!G104</f>
        <v>4700.5367892816184</v>
      </c>
      <c r="H104" s="36">
        <f>0.5*AllSavings!H104</f>
        <v>4258.2829952929533</v>
      </c>
      <c r="I104" s="36">
        <f>0.5*AllSavings!I104</f>
        <v>1232.991413393464</v>
      </c>
      <c r="J104" s="25"/>
    </row>
    <row r="105" spans="1:10" ht="13.15" customHeight="1" x14ac:dyDescent="0.25">
      <c r="A105" s="32">
        <f t="shared" si="3"/>
        <v>2019</v>
      </c>
      <c r="B105" s="32">
        <f t="shared" si="4"/>
        <v>8</v>
      </c>
      <c r="C105" s="36">
        <f>0.5*AllSavings!C105</f>
        <v>13838.034188034188</v>
      </c>
      <c r="D105" s="36">
        <f>0.5*AllSavings!D105</f>
        <v>2108.2322572673011</v>
      </c>
      <c r="E105" s="36">
        <f>0.5*AllSavings!E105</f>
        <v>1383.8034188034189</v>
      </c>
      <c r="F105" s="36">
        <f>0.5*AllSavings!F105</f>
        <v>10345.998511963468</v>
      </c>
      <c r="G105" s="36">
        <f>0.5*AllSavings!G105</f>
        <v>4773.4240165115507</v>
      </c>
      <c r="H105" s="36">
        <f>0.5*AllSavings!H105</f>
        <v>4320.9307919690855</v>
      </c>
      <c r="I105" s="36">
        <f>0.5*AllSavings!I105</f>
        <v>1251.6437034828321</v>
      </c>
      <c r="J105" s="25"/>
    </row>
    <row r="106" spans="1:10" x14ac:dyDescent="0.25">
      <c r="A106" s="32">
        <f t="shared" si="3"/>
        <v>2019</v>
      </c>
      <c r="B106" s="32">
        <f t="shared" si="4"/>
        <v>9</v>
      </c>
      <c r="C106" s="36">
        <f>0.5*AllSavings!C106</f>
        <v>14049.038461538461</v>
      </c>
      <c r="D106" s="36">
        <f>0.5*AllSavings!D106</f>
        <v>2143.948789425714</v>
      </c>
      <c r="E106" s="36">
        <f>0.5*AllSavings!E106</f>
        <v>1404.9038461538462</v>
      </c>
      <c r="F106" s="36">
        <f>0.5*AllSavings!F106</f>
        <v>10500.185825958901</v>
      </c>
      <c r="G106" s="36">
        <f>0.5*AllSavings!G106</f>
        <v>4846.3112437414838</v>
      </c>
      <c r="H106" s="36">
        <f>0.5*AllSavings!H106</f>
        <v>4383.5785886452177</v>
      </c>
      <c r="I106" s="36">
        <f>0.5*AllSavings!I106</f>
        <v>1270.2959935722004</v>
      </c>
      <c r="J106" s="25"/>
    </row>
    <row r="107" spans="1:10" x14ac:dyDescent="0.25">
      <c r="A107" s="32">
        <f t="shared" si="3"/>
        <v>2019</v>
      </c>
      <c r="B107" s="32">
        <f t="shared" si="4"/>
        <v>10</v>
      </c>
      <c r="C107" s="36">
        <f>0.5*AllSavings!C107</f>
        <v>14260.042735042734</v>
      </c>
      <c r="D107" s="36">
        <f>0.5*AllSavings!D107</f>
        <v>2179.665321584127</v>
      </c>
      <c r="E107" s="36">
        <f>0.5*AllSavings!E107</f>
        <v>1426.0042735042734</v>
      </c>
      <c r="F107" s="36">
        <f>0.5*AllSavings!F107</f>
        <v>10654.373139954334</v>
      </c>
      <c r="G107" s="36">
        <f>0.5*AllSavings!G107</f>
        <v>4919.1984709714161</v>
      </c>
      <c r="H107" s="36">
        <f>0.5*AllSavings!H107</f>
        <v>4446.2263853213508</v>
      </c>
      <c r="I107" s="36">
        <f>0.5*AllSavings!I107</f>
        <v>1288.9482836615687</v>
      </c>
      <c r="J107" s="25"/>
    </row>
    <row r="108" spans="1:10" x14ac:dyDescent="0.25">
      <c r="A108" s="32">
        <f t="shared" si="3"/>
        <v>2019</v>
      </c>
      <c r="B108" s="32">
        <f t="shared" si="4"/>
        <v>11</v>
      </c>
      <c r="C108" s="36">
        <f>0.5*AllSavings!C108</f>
        <v>14471.047008547008</v>
      </c>
      <c r="D108" s="36">
        <f>0.5*AllSavings!D108</f>
        <v>2215.3818537425395</v>
      </c>
      <c r="E108" s="36">
        <f>0.5*AllSavings!E108</f>
        <v>1447.1047008547012</v>
      </c>
      <c r="F108" s="36">
        <f>0.5*AllSavings!F108</f>
        <v>10808.560453949767</v>
      </c>
      <c r="G108" s="36">
        <f>0.5*AllSavings!G108</f>
        <v>4992.0856982013484</v>
      </c>
      <c r="H108" s="36">
        <f>0.5*AllSavings!H108</f>
        <v>4508.874181997483</v>
      </c>
      <c r="I108" s="36">
        <f>0.5*AllSavings!I108</f>
        <v>1307.6005737509367</v>
      </c>
      <c r="J108" s="25"/>
    </row>
    <row r="109" spans="1:10" x14ac:dyDescent="0.25">
      <c r="A109" s="32">
        <f t="shared" si="3"/>
        <v>2019</v>
      </c>
      <c r="B109" s="32">
        <f t="shared" si="4"/>
        <v>12</v>
      </c>
      <c r="C109" s="36">
        <f>0.5*AllSavings!C109</f>
        <v>14682.051282051281</v>
      </c>
      <c r="D109" s="36">
        <f>0.5*AllSavings!D109</f>
        <v>2251.0983859009521</v>
      </c>
      <c r="E109" s="36">
        <f>0.5*AllSavings!E109</f>
        <v>1468.2051282051284</v>
      </c>
      <c r="F109" s="36">
        <f>0.5*AllSavings!F109</f>
        <v>10962.7477679452</v>
      </c>
      <c r="G109" s="36">
        <f>0.5*AllSavings!G109</f>
        <v>5064.9729254312815</v>
      </c>
      <c r="H109" s="36">
        <f>0.5*AllSavings!H109</f>
        <v>4571.5219786736152</v>
      </c>
      <c r="I109" s="36">
        <f>0.5*AllSavings!I109</f>
        <v>1326.2528638403053</v>
      </c>
      <c r="J109" s="25"/>
    </row>
    <row r="110" spans="1:10" x14ac:dyDescent="0.25">
      <c r="A110" s="32">
        <f t="shared" si="3"/>
        <v>2020</v>
      </c>
      <c r="B110" s="32">
        <f t="shared" si="4"/>
        <v>1</v>
      </c>
      <c r="C110" s="36">
        <f>0.5*AllSavings!C110</f>
        <v>15104.059829059828</v>
      </c>
      <c r="D110" s="36">
        <f>0.5*AllSavings!D110</f>
        <v>2269.6748654917455</v>
      </c>
      <c r="E110" s="36">
        <f>0.5*AllSavings!E110</f>
        <v>1510.4059829059829</v>
      </c>
      <c r="F110" s="36">
        <f>0.5*AllSavings!F110</f>
        <v>11323.978980662099</v>
      </c>
      <c r="G110" s="36">
        <f>0.5*AllSavings!G110</f>
        <v>5193.2704305816305</v>
      </c>
      <c r="H110" s="36">
        <f>0.5*AllSavings!H110</f>
        <v>4762.6485062460242</v>
      </c>
      <c r="I110" s="36">
        <f>0.5*AllSavings!I110</f>
        <v>1368.0600438344438</v>
      </c>
      <c r="J110" s="25"/>
    </row>
    <row r="111" spans="1:10" x14ac:dyDescent="0.25">
      <c r="A111" s="32">
        <f t="shared" si="3"/>
        <v>2020</v>
      </c>
      <c r="B111" s="32">
        <f t="shared" si="4"/>
        <v>2</v>
      </c>
      <c r="C111" s="36">
        <f>0.5*AllSavings!C111</f>
        <v>15315.064102564102</v>
      </c>
      <c r="D111" s="36">
        <f>0.5*AllSavings!D111</f>
        <v>2305.3913976501585</v>
      </c>
      <c r="E111" s="36">
        <f>0.5*AllSavings!E111</f>
        <v>1531.5064102564102</v>
      </c>
      <c r="F111" s="36">
        <f>0.5*AllSavings!F111</f>
        <v>11478.166294657532</v>
      </c>
      <c r="G111" s="36">
        <f>0.5*AllSavings!G111</f>
        <v>5266.1576578115637</v>
      </c>
      <c r="H111" s="36">
        <f>0.5*AllSavings!H111</f>
        <v>4825.2963029221573</v>
      </c>
      <c r="I111" s="36">
        <f>0.5*AllSavings!I111</f>
        <v>1386.7123339238121</v>
      </c>
      <c r="J111" s="25"/>
    </row>
    <row r="112" spans="1:10" x14ac:dyDescent="0.25">
      <c r="A112" s="32">
        <f t="shared" si="3"/>
        <v>2020</v>
      </c>
      <c r="B112" s="32">
        <f t="shared" si="4"/>
        <v>3</v>
      </c>
      <c r="C112" s="36">
        <f>0.5*AllSavings!C112</f>
        <v>15526.068376068375</v>
      </c>
      <c r="D112" s="36">
        <f>0.5*AllSavings!D112</f>
        <v>2341.107929808571</v>
      </c>
      <c r="E112" s="36">
        <f>0.5*AllSavings!E112</f>
        <v>1552.6068376068374</v>
      </c>
      <c r="F112" s="36">
        <f>0.5*AllSavings!F112</f>
        <v>11632.353608652966</v>
      </c>
      <c r="G112" s="36">
        <f>0.5*AllSavings!G112</f>
        <v>5339.0448850414969</v>
      </c>
      <c r="H112" s="36">
        <f>0.5*AllSavings!H112</f>
        <v>4887.9440995982895</v>
      </c>
      <c r="I112" s="36">
        <f>0.5*AllSavings!I112</f>
        <v>1405.3646240131804</v>
      </c>
      <c r="J112" s="25"/>
    </row>
    <row r="113" spans="1:10" x14ac:dyDescent="0.25">
      <c r="A113" s="32">
        <f t="shared" si="3"/>
        <v>2020</v>
      </c>
      <c r="B113" s="32">
        <f t="shared" si="4"/>
        <v>4</v>
      </c>
      <c r="C113" s="36">
        <f>0.5*AllSavings!C113</f>
        <v>15737.072649572649</v>
      </c>
      <c r="D113" s="36">
        <f>0.5*AllSavings!D113</f>
        <v>2376.824461966984</v>
      </c>
      <c r="E113" s="36">
        <f>0.5*AllSavings!E113</f>
        <v>1573.7072649572651</v>
      </c>
      <c r="F113" s="36">
        <f>0.5*AllSavings!F113</f>
        <v>11786.540922648399</v>
      </c>
      <c r="G113" s="36">
        <f>0.5*AllSavings!G113</f>
        <v>5411.93211227143</v>
      </c>
      <c r="H113" s="36">
        <f>0.5*AllSavings!H113</f>
        <v>4950.5918962744227</v>
      </c>
      <c r="I113" s="36">
        <f>0.5*AllSavings!I113</f>
        <v>1424.0169141025488</v>
      </c>
      <c r="J113" s="25"/>
    </row>
    <row r="114" spans="1:10" x14ac:dyDescent="0.25">
      <c r="A114" s="32">
        <f t="shared" si="3"/>
        <v>2020</v>
      </c>
      <c r="B114" s="32">
        <f t="shared" si="4"/>
        <v>5</v>
      </c>
      <c r="C114" s="36">
        <f>0.5*AllSavings!C114</f>
        <v>15948.076923076922</v>
      </c>
      <c r="D114" s="36">
        <f>0.5*AllSavings!D114</f>
        <v>2412.5409941253965</v>
      </c>
      <c r="E114" s="36">
        <f>0.5*AllSavings!E114</f>
        <v>1594.8076923076924</v>
      </c>
      <c r="F114" s="36">
        <f>0.5*AllSavings!F114</f>
        <v>11940.728236643834</v>
      </c>
      <c r="G114" s="36">
        <f>0.5*AllSavings!G114</f>
        <v>5484.8193395013623</v>
      </c>
      <c r="H114" s="36">
        <f>0.5*AllSavings!H114</f>
        <v>5013.2396929505549</v>
      </c>
      <c r="I114" s="36">
        <f>0.5*AllSavings!I114</f>
        <v>1442.6692041919168</v>
      </c>
      <c r="J114" s="25"/>
    </row>
    <row r="115" spans="1:10" x14ac:dyDescent="0.25">
      <c r="A115" s="32">
        <f t="shared" si="3"/>
        <v>2020</v>
      </c>
      <c r="B115" s="32">
        <f t="shared" si="4"/>
        <v>6</v>
      </c>
      <c r="C115" s="36">
        <f>0.5*AllSavings!C115</f>
        <v>16159.081196581195</v>
      </c>
      <c r="D115" s="36">
        <f>0.5*AllSavings!D115</f>
        <v>2448.2575262838091</v>
      </c>
      <c r="E115" s="36">
        <f>0.5*AllSavings!E115</f>
        <v>1615.9081196581196</v>
      </c>
      <c r="F115" s="36">
        <f>0.5*AllSavings!F115</f>
        <v>12094.915550639267</v>
      </c>
      <c r="G115" s="36">
        <f>0.5*AllSavings!G115</f>
        <v>5557.7065667312945</v>
      </c>
      <c r="H115" s="36">
        <f>0.5*AllSavings!H115</f>
        <v>5075.887489626688</v>
      </c>
      <c r="I115" s="36">
        <f>0.5*AllSavings!I115</f>
        <v>1461.3214942812851</v>
      </c>
      <c r="J115" s="25"/>
    </row>
    <row r="116" spans="1:10" x14ac:dyDescent="0.25">
      <c r="A116" s="32">
        <f t="shared" si="3"/>
        <v>2020</v>
      </c>
      <c r="B116" s="32">
        <f t="shared" si="4"/>
        <v>7</v>
      </c>
      <c r="C116" s="36">
        <f>0.5*AllSavings!C116</f>
        <v>16370.085470085469</v>
      </c>
      <c r="D116" s="36">
        <f>0.5*AllSavings!D116</f>
        <v>2483.9740584422216</v>
      </c>
      <c r="E116" s="36">
        <f>0.5*AllSavings!E116</f>
        <v>1637.0085470085473</v>
      </c>
      <c r="F116" s="36">
        <f>0.5*AllSavings!F116</f>
        <v>12249.1028646347</v>
      </c>
      <c r="G116" s="36">
        <f>0.5*AllSavings!G116</f>
        <v>5630.5937939612286</v>
      </c>
      <c r="H116" s="36">
        <f>0.5*AllSavings!H116</f>
        <v>5138.5352863028202</v>
      </c>
      <c r="I116" s="36">
        <f>0.5*AllSavings!I116</f>
        <v>1479.9737843706537</v>
      </c>
      <c r="J116" s="25"/>
    </row>
    <row r="117" spans="1:10" x14ac:dyDescent="0.25">
      <c r="A117" s="32">
        <f t="shared" si="3"/>
        <v>2020</v>
      </c>
      <c r="B117" s="32">
        <f t="shared" si="4"/>
        <v>8</v>
      </c>
      <c r="C117" s="36">
        <f>0.5*AllSavings!C117</f>
        <v>16581.089743589742</v>
      </c>
      <c r="D117" s="36">
        <f>0.5*AllSavings!D117</f>
        <v>2519.6905906006341</v>
      </c>
      <c r="E117" s="36">
        <f>0.5*AllSavings!E117</f>
        <v>1658.1089743589746</v>
      </c>
      <c r="F117" s="36">
        <f>0.5*AllSavings!F117</f>
        <v>12403.290178630134</v>
      </c>
      <c r="G117" s="36">
        <f>0.5*AllSavings!G117</f>
        <v>5703.4810211911608</v>
      </c>
      <c r="H117" s="36">
        <f>0.5*AllSavings!H117</f>
        <v>5201.1830829789524</v>
      </c>
      <c r="I117" s="36">
        <f>0.5*AllSavings!I117</f>
        <v>1498.6260744600218</v>
      </c>
      <c r="J117" s="25"/>
    </row>
    <row r="118" spans="1:10" x14ac:dyDescent="0.25">
      <c r="A118" s="32">
        <f t="shared" si="3"/>
        <v>2020</v>
      </c>
      <c r="B118" s="32">
        <f t="shared" si="4"/>
        <v>9</v>
      </c>
      <c r="C118" s="36">
        <f>0.5*AllSavings!C118</f>
        <v>16792.094017094016</v>
      </c>
      <c r="D118" s="36">
        <f>0.5*AllSavings!D118</f>
        <v>2555.4071227590475</v>
      </c>
      <c r="E118" s="36">
        <f>0.5*AllSavings!E118</f>
        <v>1679.2094017094018</v>
      </c>
      <c r="F118" s="36">
        <f>0.5*AllSavings!F118</f>
        <v>12557.477492625567</v>
      </c>
      <c r="G118" s="36">
        <f>0.5*AllSavings!G118</f>
        <v>5776.368248421094</v>
      </c>
      <c r="H118" s="36">
        <f>0.5*AllSavings!H118</f>
        <v>5263.8308796550846</v>
      </c>
      <c r="I118" s="36">
        <f>0.5*AllSavings!I118</f>
        <v>1517.2783645493901</v>
      </c>
      <c r="J118" s="25"/>
    </row>
    <row r="119" spans="1:10" x14ac:dyDescent="0.25">
      <c r="A119" s="32">
        <f t="shared" si="3"/>
        <v>2020</v>
      </c>
      <c r="B119" s="32">
        <f t="shared" si="4"/>
        <v>10</v>
      </c>
      <c r="C119" s="36">
        <f>0.5*AllSavings!C119</f>
        <v>17003.098290598289</v>
      </c>
      <c r="D119" s="36">
        <f>0.5*AllSavings!D119</f>
        <v>2591.12365491746</v>
      </c>
      <c r="E119" s="36">
        <f>0.5*AllSavings!E119</f>
        <v>1700.3098290598291</v>
      </c>
      <c r="F119" s="36">
        <f>0.5*AllSavings!F119</f>
        <v>12711.664806621</v>
      </c>
      <c r="G119" s="36">
        <f>0.5*AllSavings!G119</f>
        <v>5849.2554756510262</v>
      </c>
      <c r="H119" s="36">
        <f>0.5*AllSavings!H119</f>
        <v>5326.4786763312177</v>
      </c>
      <c r="I119" s="36">
        <f>0.5*AllSavings!I119</f>
        <v>1535.9306546387584</v>
      </c>
      <c r="J119" s="25"/>
    </row>
    <row r="120" spans="1:10" x14ac:dyDescent="0.25">
      <c r="A120" s="32">
        <f t="shared" si="3"/>
        <v>2020</v>
      </c>
      <c r="B120" s="32">
        <f t="shared" si="4"/>
        <v>11</v>
      </c>
      <c r="C120" s="36">
        <f>0.5*AllSavings!C120</f>
        <v>17214.102564102563</v>
      </c>
      <c r="D120" s="36">
        <f>0.5*AllSavings!D120</f>
        <v>2626.8401870758726</v>
      </c>
      <c r="E120" s="36">
        <f>0.5*AllSavings!E120</f>
        <v>1721.4102564102568</v>
      </c>
      <c r="F120" s="36">
        <f>0.5*AllSavings!F120</f>
        <v>12865.852120616433</v>
      </c>
      <c r="G120" s="36">
        <f>0.5*AllSavings!G120</f>
        <v>5922.1427028809585</v>
      </c>
      <c r="H120" s="36">
        <f>0.5*AllSavings!H120</f>
        <v>5389.1264730073499</v>
      </c>
      <c r="I120" s="36">
        <f>0.5*AllSavings!I120</f>
        <v>1554.5829447281264</v>
      </c>
      <c r="J120" s="25"/>
    </row>
    <row r="121" spans="1:10" x14ac:dyDescent="0.25">
      <c r="A121" s="32">
        <f t="shared" si="3"/>
        <v>2020</v>
      </c>
      <c r="B121" s="32">
        <f t="shared" si="4"/>
        <v>12</v>
      </c>
      <c r="C121" s="36">
        <f>0.5*AllSavings!C121</f>
        <v>17425.106837606836</v>
      </c>
      <c r="D121" s="36">
        <f>0.5*AllSavings!D121</f>
        <v>2662.5567192342851</v>
      </c>
      <c r="E121" s="36">
        <f>0.5*AllSavings!E121</f>
        <v>1742.5106837606841</v>
      </c>
      <c r="F121" s="36">
        <f>0.5*AllSavings!F121</f>
        <v>13020.039434611866</v>
      </c>
      <c r="G121" s="36">
        <f>0.5*AllSavings!G121</f>
        <v>5995.0299301108917</v>
      </c>
      <c r="H121" s="36">
        <f>0.5*AllSavings!H121</f>
        <v>5451.7742696834821</v>
      </c>
      <c r="I121" s="36">
        <f>0.5*AllSavings!I121</f>
        <v>1573.235234817495</v>
      </c>
      <c r="J121" s="25"/>
    </row>
    <row r="122" spans="1:10" x14ac:dyDescent="0.25">
      <c r="A122" s="32"/>
      <c r="B122" s="32"/>
      <c r="C122" s="36"/>
      <c r="D122" s="38"/>
      <c r="E122" s="38"/>
      <c r="F122" s="38"/>
      <c r="G122" s="38"/>
      <c r="H122" s="38"/>
      <c r="I122" s="38"/>
      <c r="J122" s="25"/>
    </row>
    <row r="123" spans="1:10" x14ac:dyDescent="0.25">
      <c r="A123" s="32"/>
      <c r="B123" s="32"/>
    </row>
    <row r="124" spans="1:10" x14ac:dyDescent="0.25">
      <c r="A124" s="32"/>
      <c r="B124" s="32"/>
    </row>
    <row r="125" spans="1:10" x14ac:dyDescent="0.25">
      <c r="A125" s="32"/>
      <c r="B125" s="32"/>
      <c r="D125" s="38"/>
      <c r="E125" s="38"/>
      <c r="I125" s="38"/>
    </row>
    <row r="126" spans="1:10" x14ac:dyDescent="0.25">
      <c r="A126" s="32"/>
      <c r="B126" s="32"/>
      <c r="D126" s="38"/>
      <c r="E126" s="38"/>
      <c r="I126" s="38"/>
    </row>
    <row r="127" spans="1:10" x14ac:dyDescent="0.25">
      <c r="A127" s="32"/>
      <c r="B127" s="32"/>
      <c r="D127" s="38"/>
      <c r="E127" s="38"/>
      <c r="I127" s="38"/>
    </row>
    <row r="128" spans="1:10" x14ac:dyDescent="0.25">
      <c r="A128" s="32"/>
      <c r="B128" s="32"/>
      <c r="D128" s="38"/>
      <c r="E128" s="38"/>
      <c r="I128" s="38"/>
    </row>
    <row r="129" spans="1:9" x14ac:dyDescent="0.25">
      <c r="A129" s="32"/>
      <c r="B129" s="32"/>
      <c r="D129" s="38"/>
      <c r="E129" s="38"/>
      <c r="I129" s="38"/>
    </row>
    <row r="130" spans="1:9" x14ac:dyDescent="0.25">
      <c r="A130" s="32"/>
      <c r="B130" s="32"/>
      <c r="D130" s="38"/>
      <c r="E130" s="38"/>
      <c r="I130" s="38"/>
    </row>
    <row r="131" spans="1:9" x14ac:dyDescent="0.25">
      <c r="A131" s="32"/>
      <c r="B131" s="32"/>
      <c r="D131" s="38"/>
      <c r="E131" s="38"/>
      <c r="I131" s="38"/>
    </row>
    <row r="132" spans="1:9" x14ac:dyDescent="0.25">
      <c r="A132" s="32"/>
      <c r="B132" s="32"/>
      <c r="D132" s="38"/>
      <c r="E132" s="38"/>
      <c r="I132" s="38"/>
    </row>
    <row r="133" spans="1:9" x14ac:dyDescent="0.25">
      <c r="A133" s="32"/>
      <c r="B133" s="32"/>
      <c r="D133" s="38"/>
      <c r="E133" s="38"/>
      <c r="I133" s="3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topLeftCell="A103" workbookViewId="0">
      <selection activeCell="C1" sqref="C1:C1048576"/>
    </sheetView>
  </sheetViews>
  <sheetFormatPr defaultRowHeight="15" x14ac:dyDescent="0.25"/>
  <cols>
    <col min="1" max="2" width="10.42578125" style="34" customWidth="1"/>
    <col min="3" max="3" width="13.7109375" style="34" bestFit="1" customWidth="1"/>
    <col min="4" max="4" width="12.28515625" bestFit="1" customWidth="1"/>
    <col min="5" max="5" width="13.7109375" bestFit="1" customWidth="1"/>
    <col min="6" max="6" width="13.28515625" bestFit="1" customWidth="1"/>
    <col min="7" max="7" width="17.85546875" bestFit="1" customWidth="1"/>
    <col min="8" max="8" width="16.28515625" bestFit="1" customWidth="1"/>
    <col min="9" max="9" width="15.7109375" bestFit="1" customWidth="1"/>
  </cols>
  <sheetData>
    <row r="1" spans="1:9" s="7" customFormat="1" x14ac:dyDescent="0.25">
      <c r="A1" s="124" t="s">
        <v>27</v>
      </c>
      <c r="B1" s="124" t="s">
        <v>28</v>
      </c>
      <c r="C1" s="124" t="s">
        <v>118</v>
      </c>
      <c r="D1" s="124" t="s">
        <v>119</v>
      </c>
      <c r="E1" s="124" t="s">
        <v>120</v>
      </c>
      <c r="F1" s="124" t="s">
        <v>121</v>
      </c>
      <c r="G1" s="124" t="s">
        <v>122</v>
      </c>
      <c r="H1" s="124" t="s">
        <v>123</v>
      </c>
      <c r="I1" s="124" t="s">
        <v>124</v>
      </c>
    </row>
    <row r="2" spans="1:9" s="34" customFormat="1" x14ac:dyDescent="0.25">
      <c r="A2" s="32">
        <v>2011</v>
      </c>
      <c r="B2" s="32">
        <v>1</v>
      </c>
      <c r="C2" s="36">
        <v>0</v>
      </c>
      <c r="D2" s="36">
        <v>0</v>
      </c>
      <c r="E2" s="36">
        <v>0</v>
      </c>
      <c r="F2" s="36">
        <v>0</v>
      </c>
      <c r="G2" s="36">
        <v>0</v>
      </c>
      <c r="H2" s="36">
        <v>0</v>
      </c>
      <c r="I2" s="36">
        <v>0</v>
      </c>
    </row>
    <row r="3" spans="1:9" x14ac:dyDescent="0.25">
      <c r="A3" s="32">
        <v>2011</v>
      </c>
      <c r="B3" s="32">
        <v>2</v>
      </c>
      <c r="C3" s="36">
        <v>0</v>
      </c>
      <c r="D3" s="36">
        <v>0</v>
      </c>
      <c r="E3" s="36">
        <v>0</v>
      </c>
      <c r="F3" s="36">
        <v>0</v>
      </c>
      <c r="G3" s="36">
        <v>0</v>
      </c>
      <c r="H3" s="36">
        <v>0</v>
      </c>
      <c r="I3" s="36">
        <v>0</v>
      </c>
    </row>
    <row r="4" spans="1:9" x14ac:dyDescent="0.25">
      <c r="A4" s="32">
        <v>2011</v>
      </c>
      <c r="B4" s="32">
        <v>3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</row>
    <row r="5" spans="1:9" x14ac:dyDescent="0.25">
      <c r="A5" s="32">
        <v>2011</v>
      </c>
      <c r="B5" s="32">
        <v>4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</row>
    <row r="6" spans="1:9" x14ac:dyDescent="0.25">
      <c r="A6" s="32">
        <v>2011</v>
      </c>
      <c r="B6" s="32">
        <v>5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</row>
    <row r="7" spans="1:9" x14ac:dyDescent="0.25">
      <c r="A7" s="32">
        <v>2011</v>
      </c>
      <c r="B7" s="32">
        <v>6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</row>
    <row r="8" spans="1:9" x14ac:dyDescent="0.25">
      <c r="A8" s="32">
        <v>2011</v>
      </c>
      <c r="B8" s="32">
        <v>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</row>
    <row r="9" spans="1:9" x14ac:dyDescent="0.25">
      <c r="A9" s="32">
        <v>2011</v>
      </c>
      <c r="B9" s="32">
        <v>8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</row>
    <row r="10" spans="1:9" x14ac:dyDescent="0.25">
      <c r="A10" s="32">
        <v>2011</v>
      </c>
      <c r="B10" s="32">
        <v>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</row>
    <row r="11" spans="1:9" x14ac:dyDescent="0.25">
      <c r="A11" s="32">
        <v>2011</v>
      </c>
      <c r="B11" s="32">
        <v>10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</row>
    <row r="12" spans="1:9" x14ac:dyDescent="0.25">
      <c r="A12" s="32">
        <v>2011</v>
      </c>
      <c r="B12" s="32">
        <v>11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</row>
    <row r="13" spans="1:9" x14ac:dyDescent="0.25">
      <c r="A13" s="32">
        <v>2011</v>
      </c>
      <c r="B13" s="32">
        <v>12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</row>
    <row r="14" spans="1:9" x14ac:dyDescent="0.25">
      <c r="A14" s="32">
        <v>2012</v>
      </c>
      <c r="B14" s="32">
        <v>1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</row>
    <row r="15" spans="1:9" x14ac:dyDescent="0.25">
      <c r="A15" s="32">
        <v>2012</v>
      </c>
      <c r="B15" s="32">
        <v>2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</row>
    <row r="16" spans="1:9" x14ac:dyDescent="0.25">
      <c r="A16" s="32">
        <v>2012</v>
      </c>
      <c r="B16" s="32">
        <v>3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</row>
    <row r="17" spans="1:12" x14ac:dyDescent="0.25">
      <c r="A17" s="32">
        <v>2012</v>
      </c>
      <c r="B17" s="32">
        <v>4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</row>
    <row r="18" spans="1:12" x14ac:dyDescent="0.25">
      <c r="A18" s="32">
        <v>2012</v>
      </c>
      <c r="B18" s="32">
        <v>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</row>
    <row r="19" spans="1:12" x14ac:dyDescent="0.25">
      <c r="A19" s="32">
        <v>2012</v>
      </c>
      <c r="B19" s="32">
        <v>6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</row>
    <row r="20" spans="1:12" x14ac:dyDescent="0.25">
      <c r="A20" s="32">
        <v>2012</v>
      </c>
      <c r="B20" s="32">
        <v>7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</row>
    <row r="21" spans="1:12" x14ac:dyDescent="0.25">
      <c r="A21" s="32">
        <v>2012</v>
      </c>
      <c r="B21" s="32">
        <v>8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</row>
    <row r="22" spans="1:12" x14ac:dyDescent="0.25">
      <c r="A22" s="32">
        <v>2012</v>
      </c>
      <c r="B22" s="32">
        <v>9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</row>
    <row r="23" spans="1:12" x14ac:dyDescent="0.25">
      <c r="A23" s="32">
        <v>2012</v>
      </c>
      <c r="B23" s="32">
        <v>10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L23" s="6"/>
    </row>
    <row r="24" spans="1:12" x14ac:dyDescent="0.25">
      <c r="A24" s="32">
        <v>2012</v>
      </c>
      <c r="B24" s="32">
        <v>11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</row>
    <row r="25" spans="1:12" x14ac:dyDescent="0.25">
      <c r="A25" s="32">
        <v>2012</v>
      </c>
      <c r="B25" s="32">
        <v>12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</row>
    <row r="26" spans="1:12" x14ac:dyDescent="0.25">
      <c r="A26" s="32">
        <v>2013</v>
      </c>
      <c r="B26" s="32">
        <v>1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</row>
    <row r="27" spans="1:12" x14ac:dyDescent="0.25">
      <c r="A27" s="32">
        <v>2013</v>
      </c>
      <c r="B27" s="32">
        <v>2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</row>
    <row r="28" spans="1:12" x14ac:dyDescent="0.25">
      <c r="A28" s="32">
        <v>2013</v>
      </c>
      <c r="B28" s="32">
        <v>3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</row>
    <row r="29" spans="1:12" x14ac:dyDescent="0.25">
      <c r="A29" s="32">
        <v>2013</v>
      </c>
      <c r="B29" s="32">
        <v>4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</row>
    <row r="30" spans="1:12" x14ac:dyDescent="0.25">
      <c r="A30" s="32">
        <v>2013</v>
      </c>
      <c r="B30" s="32">
        <v>5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</row>
    <row r="31" spans="1:12" x14ac:dyDescent="0.25">
      <c r="A31" s="32">
        <v>2013</v>
      </c>
      <c r="B31" s="32">
        <v>6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</row>
    <row r="32" spans="1:12" x14ac:dyDescent="0.25">
      <c r="A32" s="32">
        <v>2013</v>
      </c>
      <c r="B32" s="32">
        <v>7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</row>
    <row r="33" spans="1:9" x14ac:dyDescent="0.25">
      <c r="A33" s="32">
        <v>2013</v>
      </c>
      <c r="B33" s="32">
        <v>8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</row>
    <row r="34" spans="1:9" x14ac:dyDescent="0.25">
      <c r="A34" s="32">
        <v>2013</v>
      </c>
      <c r="B34" s="32">
        <v>9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</row>
    <row r="35" spans="1:9" x14ac:dyDescent="0.25">
      <c r="A35" s="32">
        <v>2013</v>
      </c>
      <c r="B35" s="32">
        <v>10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</row>
    <row r="36" spans="1:9" x14ac:dyDescent="0.25">
      <c r="A36" s="32">
        <v>2013</v>
      </c>
      <c r="B36" s="32">
        <v>11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</row>
    <row r="37" spans="1:9" x14ac:dyDescent="0.25">
      <c r="A37" s="32">
        <v>2013</v>
      </c>
      <c r="B37" s="32">
        <v>12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</row>
    <row r="38" spans="1:9" x14ac:dyDescent="0.25">
      <c r="A38" s="32">
        <v>2014</v>
      </c>
      <c r="B38" s="32">
        <v>1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</row>
    <row r="39" spans="1:9" x14ac:dyDescent="0.25">
      <c r="A39" s="32">
        <v>2014</v>
      </c>
      <c r="B39" s="32">
        <v>2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</row>
    <row r="40" spans="1:9" x14ac:dyDescent="0.25">
      <c r="A40" s="32">
        <v>2014</v>
      </c>
      <c r="B40" s="32">
        <v>3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</row>
    <row r="41" spans="1:9" x14ac:dyDescent="0.25">
      <c r="A41" s="32">
        <v>2014</v>
      </c>
      <c r="B41" s="32">
        <v>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</row>
    <row r="42" spans="1:9" x14ac:dyDescent="0.25">
      <c r="A42" s="32">
        <v>2014</v>
      </c>
      <c r="B42" s="32">
        <v>5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</row>
    <row r="43" spans="1:9" x14ac:dyDescent="0.25">
      <c r="A43" s="32">
        <v>2014</v>
      </c>
      <c r="B43" s="32">
        <v>6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</row>
    <row r="44" spans="1:9" x14ac:dyDescent="0.25">
      <c r="A44" s="32">
        <v>2014</v>
      </c>
      <c r="B44" s="32">
        <v>7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</row>
    <row r="45" spans="1:9" x14ac:dyDescent="0.25">
      <c r="A45" s="32">
        <v>2014</v>
      </c>
      <c r="B45" s="32">
        <v>8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</row>
    <row r="46" spans="1:9" x14ac:dyDescent="0.25">
      <c r="A46" s="32">
        <v>2014</v>
      </c>
      <c r="B46" s="32">
        <v>9</v>
      </c>
      <c r="C46" s="36">
        <v>1630.7692307692309</v>
      </c>
      <c r="D46" s="38">
        <v>317.8014250052745</v>
      </c>
      <c r="E46" s="38">
        <v>163.07692307692309</v>
      </c>
      <c r="F46" s="38">
        <v>1149.8908826870336</v>
      </c>
      <c r="G46" s="38">
        <v>547.93117147658006</v>
      </c>
      <c r="H46" s="38">
        <v>463.13107933923646</v>
      </c>
      <c r="I46" s="38">
        <v>138.82863187121706</v>
      </c>
    </row>
    <row r="47" spans="1:9" x14ac:dyDescent="0.25">
      <c r="A47" s="32">
        <v>2014</v>
      </c>
      <c r="B47" s="32">
        <v>10</v>
      </c>
      <c r="C47" s="36">
        <v>1811.9658119658122</v>
      </c>
      <c r="D47" s="38">
        <v>353.11269445030501</v>
      </c>
      <c r="E47" s="38">
        <v>181.19658119658123</v>
      </c>
      <c r="F47" s="38">
        <v>1277.6565363189261</v>
      </c>
      <c r="G47" s="38">
        <v>608.81241275175557</v>
      </c>
      <c r="H47" s="38">
        <v>514.59008815470713</v>
      </c>
      <c r="I47" s="38">
        <v>154.2540354124634</v>
      </c>
    </row>
    <row r="48" spans="1:9" x14ac:dyDescent="0.25">
      <c r="A48" s="32">
        <v>2014</v>
      </c>
      <c r="B48" s="32">
        <v>11</v>
      </c>
      <c r="C48" s="36">
        <v>1993.1623931623933</v>
      </c>
      <c r="D48" s="38">
        <v>388.42396389533548</v>
      </c>
      <c r="E48" s="38">
        <v>199.31623931623935</v>
      </c>
      <c r="F48" s="38">
        <v>1405.4221899508186</v>
      </c>
      <c r="G48" s="38">
        <v>669.69365402693109</v>
      </c>
      <c r="H48" s="38">
        <v>566.04909697017786</v>
      </c>
      <c r="I48" s="38">
        <v>169.67943895370971</v>
      </c>
    </row>
    <row r="49" spans="1:10" x14ac:dyDescent="0.25">
      <c r="A49" s="32">
        <v>2014</v>
      </c>
      <c r="B49" s="32">
        <v>12</v>
      </c>
      <c r="C49" s="36">
        <v>2174.3589743589746</v>
      </c>
      <c r="D49" s="38">
        <v>423.73523334036599</v>
      </c>
      <c r="E49" s="38">
        <v>217.43589743589746</v>
      </c>
      <c r="F49" s="38">
        <v>1533.1878435827114</v>
      </c>
      <c r="G49" s="38">
        <v>730.57489530210671</v>
      </c>
      <c r="H49" s="38">
        <v>617.50810578564858</v>
      </c>
      <c r="I49" s="38">
        <v>185.10484249495607</v>
      </c>
    </row>
    <row r="50" spans="1:10" x14ac:dyDescent="0.25">
      <c r="A50" s="32">
        <v>2015</v>
      </c>
      <c r="B50" s="32">
        <v>1</v>
      </c>
      <c r="C50" s="36">
        <v>2608.7606837606845</v>
      </c>
      <c r="D50" s="38">
        <v>399.44588482964605</v>
      </c>
      <c r="E50" s="38">
        <v>260.87606837606847</v>
      </c>
      <c r="F50" s="38">
        <v>1948.4387305549701</v>
      </c>
      <c r="G50" s="38">
        <v>915.26816757311849</v>
      </c>
      <c r="H50" s="38">
        <v>796.76904387622085</v>
      </c>
      <c r="I50" s="38">
        <v>236.40151910563088</v>
      </c>
    </row>
    <row r="51" spans="1:10" x14ac:dyDescent="0.25">
      <c r="A51" s="32">
        <v>2015</v>
      </c>
      <c r="B51" s="32">
        <v>2</v>
      </c>
      <c r="C51" s="36">
        <v>2861.9658119658129</v>
      </c>
      <c r="D51" s="38">
        <v>445.5584363259585</v>
      </c>
      <c r="E51" s="38">
        <v>286.19658119658129</v>
      </c>
      <c r="F51" s="38">
        <v>2130.2107944432728</v>
      </c>
      <c r="G51" s="38">
        <v>1001.4929872447739</v>
      </c>
      <c r="H51" s="38">
        <v>870.33609615753721</v>
      </c>
      <c r="I51" s="38">
        <v>258.38171104096205</v>
      </c>
    </row>
    <row r="52" spans="1:10" x14ac:dyDescent="0.25">
      <c r="A52" s="32">
        <v>2015</v>
      </c>
      <c r="B52" s="32">
        <v>3</v>
      </c>
      <c r="C52" s="36">
        <v>3115.1709401709409</v>
      </c>
      <c r="D52" s="38">
        <v>491.67098782227106</v>
      </c>
      <c r="E52" s="38">
        <v>311.51709401709411</v>
      </c>
      <c r="F52" s="38">
        <v>2311.9828583315757</v>
      </c>
      <c r="G52" s="38">
        <v>1087.7178069164293</v>
      </c>
      <c r="H52" s="38">
        <v>943.90314843885358</v>
      </c>
      <c r="I52" s="38">
        <v>280.36190297629321</v>
      </c>
    </row>
    <row r="53" spans="1:10" x14ac:dyDescent="0.25">
      <c r="A53" s="32">
        <v>2015</v>
      </c>
      <c r="B53" s="32">
        <v>4</v>
      </c>
      <c r="C53" s="36">
        <v>3368.3760683760688</v>
      </c>
      <c r="D53" s="38">
        <v>537.78353931858362</v>
      </c>
      <c r="E53" s="38">
        <v>336.83760683760693</v>
      </c>
      <c r="F53" s="38">
        <v>2493.7549222198786</v>
      </c>
      <c r="G53" s="38">
        <v>1173.9426265880845</v>
      </c>
      <c r="H53" s="38">
        <v>1017.4702007201699</v>
      </c>
      <c r="I53" s="38">
        <v>302.34209491162432</v>
      </c>
      <c r="J53" s="30"/>
    </row>
    <row r="54" spans="1:10" x14ac:dyDescent="0.25">
      <c r="A54" s="32">
        <v>2015</v>
      </c>
      <c r="B54" s="32">
        <v>5</v>
      </c>
      <c r="C54" s="36">
        <v>3621.5811965811972</v>
      </c>
      <c r="D54" s="38">
        <v>583.89609081489618</v>
      </c>
      <c r="E54" s="38">
        <v>362.15811965811974</v>
      </c>
      <c r="F54" s="38">
        <v>2675.5269861081815</v>
      </c>
      <c r="G54" s="38">
        <v>1260.1674462597398</v>
      </c>
      <c r="H54" s="38">
        <v>1091.0372530014863</v>
      </c>
      <c r="I54" s="38">
        <v>324.32228684695542</v>
      </c>
    </row>
    <row r="55" spans="1:10" x14ac:dyDescent="0.25">
      <c r="A55" s="32">
        <v>2015</v>
      </c>
      <c r="B55" s="32">
        <v>6</v>
      </c>
      <c r="C55" s="36">
        <v>3874.7863247863252</v>
      </c>
      <c r="D55" s="38">
        <v>630.00864231120863</v>
      </c>
      <c r="E55" s="38">
        <v>387.47863247863251</v>
      </c>
      <c r="F55" s="38">
        <v>2857.299049996484</v>
      </c>
      <c r="G55" s="38">
        <v>1346.3922659313951</v>
      </c>
      <c r="H55" s="38">
        <v>1164.6043052828027</v>
      </c>
      <c r="I55" s="38">
        <v>346.30247878228658</v>
      </c>
    </row>
    <row r="56" spans="1:10" x14ac:dyDescent="0.25">
      <c r="A56" s="32">
        <v>2015</v>
      </c>
      <c r="B56" s="32">
        <v>7</v>
      </c>
      <c r="C56" s="36">
        <v>4127.991452991454</v>
      </c>
      <c r="D56" s="38">
        <v>676.12119380752131</v>
      </c>
      <c r="E56" s="38">
        <v>412.79914529914538</v>
      </c>
      <c r="F56" s="38">
        <v>3039.0711138847873</v>
      </c>
      <c r="G56" s="38">
        <v>1432.6170856030506</v>
      </c>
      <c r="H56" s="38">
        <v>1238.171357564119</v>
      </c>
      <c r="I56" s="38">
        <v>368.2826707176178</v>
      </c>
    </row>
    <row r="57" spans="1:10" x14ac:dyDescent="0.25">
      <c r="A57" s="32">
        <v>2015</v>
      </c>
      <c r="B57" s="32">
        <v>8</v>
      </c>
      <c r="C57" s="36">
        <v>4381.196581196582</v>
      </c>
      <c r="D57" s="38">
        <v>722.23374530383376</v>
      </c>
      <c r="E57" s="38">
        <v>438.1196581196582</v>
      </c>
      <c r="F57" s="38">
        <v>3220.8431777730902</v>
      </c>
      <c r="G57" s="38">
        <v>1518.8419052747058</v>
      </c>
      <c r="H57" s="38">
        <v>1311.7384098454354</v>
      </c>
      <c r="I57" s="38">
        <v>390.26286265294891</v>
      </c>
    </row>
    <row r="58" spans="1:10" x14ac:dyDescent="0.25">
      <c r="A58" s="32">
        <v>2015</v>
      </c>
      <c r="B58" s="32">
        <v>9</v>
      </c>
      <c r="C58" s="36">
        <v>4634.4017094017099</v>
      </c>
      <c r="D58" s="38">
        <v>768.34629680014632</v>
      </c>
      <c r="E58" s="38">
        <v>463.44017094017101</v>
      </c>
      <c r="F58" s="38">
        <v>3402.6152416613932</v>
      </c>
      <c r="G58" s="38">
        <v>1605.0667249463613</v>
      </c>
      <c r="H58" s="38">
        <v>1385.3054621267518</v>
      </c>
      <c r="I58" s="38">
        <v>412.24305458828007</v>
      </c>
    </row>
    <row r="59" spans="1:10" x14ac:dyDescent="0.25">
      <c r="A59" s="32">
        <v>2015</v>
      </c>
      <c r="B59" s="32">
        <v>10</v>
      </c>
      <c r="C59" s="36">
        <v>4887.6068376068388</v>
      </c>
      <c r="D59" s="38">
        <v>814.45884829645888</v>
      </c>
      <c r="E59" s="38">
        <v>488.76068376068389</v>
      </c>
      <c r="F59" s="38">
        <v>3584.3873055496956</v>
      </c>
      <c r="G59" s="38">
        <v>1691.2915446180164</v>
      </c>
      <c r="H59" s="38">
        <v>1458.8725144080681</v>
      </c>
      <c r="I59" s="38">
        <v>434.22324652361124</v>
      </c>
    </row>
    <row r="60" spans="1:10" x14ac:dyDescent="0.25">
      <c r="A60" s="32">
        <v>2015</v>
      </c>
      <c r="B60" s="32">
        <v>11</v>
      </c>
      <c r="C60" s="36">
        <v>5140.8119658119667</v>
      </c>
      <c r="D60" s="38">
        <v>860.57139979277144</v>
      </c>
      <c r="E60" s="38">
        <v>514.08119658119665</v>
      </c>
      <c r="F60" s="38">
        <v>3766.1593694379981</v>
      </c>
      <c r="G60" s="38">
        <v>1777.5163642896714</v>
      </c>
      <c r="H60" s="38">
        <v>1532.4395666893845</v>
      </c>
      <c r="I60" s="38">
        <v>456.20343845894229</v>
      </c>
      <c r="J60" s="30"/>
    </row>
    <row r="61" spans="1:10" x14ac:dyDescent="0.25">
      <c r="A61" s="32">
        <v>2015</v>
      </c>
      <c r="B61" s="32">
        <v>12</v>
      </c>
      <c r="C61" s="36">
        <v>5394.0170940170947</v>
      </c>
      <c r="D61" s="38">
        <v>906.68395128908401</v>
      </c>
      <c r="E61" s="38">
        <v>539.40170940170947</v>
      </c>
      <c r="F61" s="38">
        <v>3947.931433326301</v>
      </c>
      <c r="G61" s="38">
        <v>1863.7411839613269</v>
      </c>
      <c r="H61" s="38">
        <v>1606.0066189707009</v>
      </c>
      <c r="I61" s="38">
        <v>478.18363039427351</v>
      </c>
    </row>
    <row r="62" spans="1:10" x14ac:dyDescent="0.25">
      <c r="A62" s="32">
        <v>2016</v>
      </c>
      <c r="B62" s="32">
        <v>1</v>
      </c>
      <c r="C62" s="36">
        <v>6153.6324786324785</v>
      </c>
      <c r="D62" s="38">
        <v>931.17665406041522</v>
      </c>
      <c r="E62" s="38">
        <v>615.36324786324792</v>
      </c>
      <c r="F62" s="38">
        <v>4607.0925767088156</v>
      </c>
      <c r="G62" s="38">
        <v>2154.077019290582</v>
      </c>
      <c r="H62" s="38">
        <v>1894.8738554226295</v>
      </c>
      <c r="I62" s="38">
        <v>558.14170199560476</v>
      </c>
      <c r="J62" s="13"/>
    </row>
    <row r="63" spans="1:10" x14ac:dyDescent="0.25">
      <c r="A63" s="32">
        <v>2016</v>
      </c>
      <c r="B63" s="32">
        <v>2</v>
      </c>
      <c r="C63" s="36">
        <v>6660.0427350427362</v>
      </c>
      <c r="D63" s="38">
        <v>1015.2699747874969</v>
      </c>
      <c r="E63" s="38">
        <v>666.00427350427367</v>
      </c>
      <c r="F63" s="38">
        <v>4978.7684867509652</v>
      </c>
      <c r="G63" s="38">
        <v>2328.7881855134851</v>
      </c>
      <c r="H63" s="38">
        <v>2046.8769656715467</v>
      </c>
      <c r="I63" s="38">
        <v>603.10333556593423</v>
      </c>
    </row>
    <row r="64" spans="1:10" x14ac:dyDescent="0.25">
      <c r="A64" s="32">
        <v>2016</v>
      </c>
      <c r="B64" s="32">
        <v>3</v>
      </c>
      <c r="C64" s="36">
        <v>7166.4529914529921</v>
      </c>
      <c r="D64" s="38">
        <v>1099.3632955145786</v>
      </c>
      <c r="E64" s="38">
        <v>716.64529914529919</v>
      </c>
      <c r="F64" s="38">
        <v>5350.4443967931138</v>
      </c>
      <c r="G64" s="38">
        <v>2503.4993517363873</v>
      </c>
      <c r="H64" s="38">
        <v>2198.8800759204632</v>
      </c>
      <c r="I64" s="38">
        <v>648.06496913626347</v>
      </c>
    </row>
    <row r="65" spans="1:9" x14ac:dyDescent="0.25">
      <c r="A65" s="32">
        <v>2016</v>
      </c>
      <c r="B65" s="32">
        <v>4</v>
      </c>
      <c r="C65" s="36">
        <v>7672.863247863248</v>
      </c>
      <c r="D65" s="38">
        <v>1183.4566162416604</v>
      </c>
      <c r="E65" s="38">
        <v>767.28632478632494</v>
      </c>
      <c r="F65" s="38">
        <v>5722.1203068352634</v>
      </c>
      <c r="G65" s="38">
        <v>2678.2105179592904</v>
      </c>
      <c r="H65" s="38">
        <v>2350.8831861693807</v>
      </c>
      <c r="I65" s="38">
        <v>693.02660270659271</v>
      </c>
    </row>
    <row r="66" spans="1:9" x14ac:dyDescent="0.25">
      <c r="A66" s="32">
        <v>2016</v>
      </c>
      <c r="B66" s="32">
        <v>5</v>
      </c>
      <c r="C66" s="36">
        <v>8179.2735042735048</v>
      </c>
      <c r="D66" s="38">
        <v>1267.5499369687423</v>
      </c>
      <c r="E66" s="38">
        <v>817.92735042735058</v>
      </c>
      <c r="F66" s="38">
        <v>6093.796216877412</v>
      </c>
      <c r="G66" s="38">
        <v>2852.9216841821926</v>
      </c>
      <c r="H66" s="38">
        <v>2502.8862964182977</v>
      </c>
      <c r="I66" s="38">
        <v>737.98823627692195</v>
      </c>
    </row>
    <row r="67" spans="1:9" x14ac:dyDescent="0.25">
      <c r="A67" s="32">
        <v>2016</v>
      </c>
      <c r="B67" s="32">
        <v>6</v>
      </c>
      <c r="C67" s="36">
        <v>8685.6837606837616</v>
      </c>
      <c r="D67" s="38">
        <v>1351.6432576958241</v>
      </c>
      <c r="E67" s="38">
        <v>868.5683760683761</v>
      </c>
      <c r="F67" s="38">
        <v>6465.4721269195607</v>
      </c>
      <c r="G67" s="38">
        <v>3027.6328504050957</v>
      </c>
      <c r="H67" s="38">
        <v>2654.8894066672146</v>
      </c>
      <c r="I67" s="38">
        <v>782.94986984725119</v>
      </c>
    </row>
    <row r="68" spans="1:9" x14ac:dyDescent="0.25">
      <c r="A68" s="32">
        <v>2016</v>
      </c>
      <c r="B68" s="32">
        <v>7</v>
      </c>
      <c r="C68" s="36">
        <v>9192.0940170940194</v>
      </c>
      <c r="D68" s="38">
        <v>1435.7365784229059</v>
      </c>
      <c r="E68" s="38">
        <v>919.20940170940185</v>
      </c>
      <c r="F68" s="38">
        <v>6837.1480369617111</v>
      </c>
      <c r="G68" s="38">
        <v>3202.3440166279988</v>
      </c>
      <c r="H68" s="38">
        <v>2806.8925169161321</v>
      </c>
      <c r="I68" s="38">
        <v>827.91150341758066</v>
      </c>
    </row>
    <row r="69" spans="1:9" x14ac:dyDescent="0.25">
      <c r="A69" s="32">
        <v>2016</v>
      </c>
      <c r="B69" s="32">
        <v>8</v>
      </c>
      <c r="C69" s="36">
        <v>9698.5042735042734</v>
      </c>
      <c r="D69" s="38">
        <v>1519.8298991499876</v>
      </c>
      <c r="E69" s="38">
        <v>969.85042735042748</v>
      </c>
      <c r="F69" s="38">
        <v>7208.8239470038598</v>
      </c>
      <c r="G69" s="38">
        <v>3377.0551828509015</v>
      </c>
      <c r="H69" s="38">
        <v>2958.8956271650486</v>
      </c>
      <c r="I69" s="38">
        <v>872.8731369879099</v>
      </c>
    </row>
    <row r="70" spans="1:9" x14ac:dyDescent="0.25">
      <c r="A70" s="32">
        <v>2016</v>
      </c>
      <c r="B70" s="32">
        <v>9</v>
      </c>
      <c r="C70" s="36">
        <v>10204.914529914531</v>
      </c>
      <c r="D70" s="38">
        <v>1603.9232198770692</v>
      </c>
      <c r="E70" s="38">
        <v>1020.4914529914531</v>
      </c>
      <c r="F70" s="38">
        <v>7580.4998570460084</v>
      </c>
      <c r="G70" s="38">
        <v>3551.7663490738041</v>
      </c>
      <c r="H70" s="38">
        <v>3110.8987374139656</v>
      </c>
      <c r="I70" s="38">
        <v>917.83477055823914</v>
      </c>
    </row>
    <row r="71" spans="1:9" x14ac:dyDescent="0.25">
      <c r="A71" s="32">
        <v>2016</v>
      </c>
      <c r="B71" s="32">
        <v>10</v>
      </c>
      <c r="C71" s="36">
        <v>10711.324786324789</v>
      </c>
      <c r="D71" s="38">
        <v>1688.0165406041513</v>
      </c>
      <c r="E71" s="38">
        <v>1071.1324786324788</v>
      </c>
      <c r="F71" s="38">
        <v>7952.175767088158</v>
      </c>
      <c r="G71" s="38">
        <v>3726.4775152967068</v>
      </c>
      <c r="H71" s="38">
        <v>3262.9018476628826</v>
      </c>
      <c r="I71" s="38">
        <v>962.7964041285685</v>
      </c>
    </row>
    <row r="72" spans="1:9" x14ac:dyDescent="0.25">
      <c r="A72" s="32">
        <v>2016</v>
      </c>
      <c r="B72" s="32">
        <v>11</v>
      </c>
      <c r="C72" s="36">
        <v>11217.735042735043</v>
      </c>
      <c r="D72" s="38">
        <v>1772.1098613312329</v>
      </c>
      <c r="E72" s="38">
        <v>1121.7735042735044</v>
      </c>
      <c r="F72" s="38">
        <v>8323.8516771303039</v>
      </c>
      <c r="G72" s="38">
        <v>3901.1886815196085</v>
      </c>
      <c r="H72" s="38">
        <v>3414.9049579117991</v>
      </c>
      <c r="I72" s="38">
        <v>1007.7580376988975</v>
      </c>
    </row>
    <row r="73" spans="1:9" x14ac:dyDescent="0.25">
      <c r="A73" s="32">
        <v>2016</v>
      </c>
      <c r="B73" s="32">
        <v>12</v>
      </c>
      <c r="C73" s="36">
        <v>11724.145299145301</v>
      </c>
      <c r="D73" s="38">
        <v>1856.2031820583147</v>
      </c>
      <c r="E73" s="38">
        <v>1172.41452991453</v>
      </c>
      <c r="F73" s="38">
        <v>8695.5275871724552</v>
      </c>
      <c r="G73" s="38">
        <v>4075.8998477425121</v>
      </c>
      <c r="H73" s="38">
        <v>3566.9080681607165</v>
      </c>
      <c r="I73" s="38">
        <v>1052.7196712692271</v>
      </c>
    </row>
    <row r="74" spans="1:9" x14ac:dyDescent="0.25">
      <c r="A74" s="32">
        <v>2017</v>
      </c>
      <c r="B74" s="32">
        <v>1</v>
      </c>
      <c r="C74" s="36">
        <v>12736.965811965812</v>
      </c>
      <c r="D74" s="38">
        <v>1918.6766540604151</v>
      </c>
      <c r="E74" s="38">
        <v>1273.6965811965813</v>
      </c>
      <c r="F74" s="38">
        <v>9544.5925767088156</v>
      </c>
      <c r="G74" s="38">
        <v>4429.380819469241</v>
      </c>
      <c r="H74" s="38">
        <v>3958.810304923436</v>
      </c>
      <c r="I74" s="38">
        <v>1156.4014523161381</v>
      </c>
    </row>
    <row r="75" spans="1:9" x14ac:dyDescent="0.25">
      <c r="A75" s="32">
        <v>2017</v>
      </c>
      <c r="B75" s="32">
        <v>2</v>
      </c>
      <c r="C75" s="36">
        <v>13243.37606837607</v>
      </c>
      <c r="D75" s="38">
        <v>2002.7699747874967</v>
      </c>
      <c r="E75" s="38">
        <v>1324.3376068376069</v>
      </c>
      <c r="F75" s="38">
        <v>9916.2684867509652</v>
      </c>
      <c r="G75" s="38">
        <v>4604.0919856921446</v>
      </c>
      <c r="H75" s="38">
        <v>4110.8134151723534</v>
      </c>
      <c r="I75" s="38">
        <v>1201.3630858864676</v>
      </c>
    </row>
    <row r="76" spans="1:9" x14ac:dyDescent="0.25">
      <c r="A76" s="32">
        <v>2017</v>
      </c>
      <c r="B76" s="32">
        <v>3</v>
      </c>
      <c r="C76" s="36">
        <v>13749.786324786324</v>
      </c>
      <c r="D76" s="38">
        <v>2086.8632955145786</v>
      </c>
      <c r="E76" s="38">
        <v>1374.9786324786326</v>
      </c>
      <c r="F76" s="38">
        <v>10287.944396793115</v>
      </c>
      <c r="G76" s="38">
        <v>4778.8031519150463</v>
      </c>
      <c r="H76" s="38">
        <v>4262.8165254212699</v>
      </c>
      <c r="I76" s="38">
        <v>1246.3247194567966</v>
      </c>
    </row>
    <row r="77" spans="1:9" x14ac:dyDescent="0.25">
      <c r="A77" s="32">
        <v>2017</v>
      </c>
      <c r="B77" s="32">
        <v>4</v>
      </c>
      <c r="C77" s="36">
        <v>14256.196581196582</v>
      </c>
      <c r="D77" s="38">
        <v>2170.9566162416604</v>
      </c>
      <c r="E77" s="38">
        <v>1425.6196581196582</v>
      </c>
      <c r="F77" s="38">
        <v>10659.620306835262</v>
      </c>
      <c r="G77" s="38">
        <v>4953.5143181379499</v>
      </c>
      <c r="H77" s="38">
        <v>4414.8196356701874</v>
      </c>
      <c r="I77" s="38">
        <v>1291.2863530271261</v>
      </c>
    </row>
    <row r="78" spans="1:9" x14ac:dyDescent="0.25">
      <c r="A78" s="32">
        <v>2017</v>
      </c>
      <c r="B78" s="32">
        <v>5</v>
      </c>
      <c r="C78" s="36">
        <v>14762.606837606838</v>
      </c>
      <c r="D78" s="38">
        <v>2255.0499369687423</v>
      </c>
      <c r="E78" s="38">
        <v>1476.2606837606841</v>
      </c>
      <c r="F78" s="38">
        <v>11031.296216877412</v>
      </c>
      <c r="G78" s="38">
        <v>5128.2254843608516</v>
      </c>
      <c r="H78" s="38">
        <v>4566.8227459191039</v>
      </c>
      <c r="I78" s="38">
        <v>1336.2479865974551</v>
      </c>
    </row>
    <row r="79" spans="1:9" x14ac:dyDescent="0.25">
      <c r="A79" s="32">
        <v>2017</v>
      </c>
      <c r="B79" s="32">
        <v>6</v>
      </c>
      <c r="C79" s="36">
        <v>15269.017094017094</v>
      </c>
      <c r="D79" s="38">
        <v>2339.1432576958241</v>
      </c>
      <c r="E79" s="38">
        <v>1526.9017094017095</v>
      </c>
      <c r="F79" s="38">
        <v>11402.972126919562</v>
      </c>
      <c r="G79" s="38">
        <v>5302.9366505837552</v>
      </c>
      <c r="H79" s="38">
        <v>4718.8258561680213</v>
      </c>
      <c r="I79" s="38">
        <v>1381.2096201677846</v>
      </c>
    </row>
    <row r="80" spans="1:9" x14ac:dyDescent="0.25">
      <c r="A80" s="32">
        <v>2017</v>
      </c>
      <c r="B80" s="32">
        <v>7</v>
      </c>
      <c r="C80" s="36">
        <v>15775.427350427351</v>
      </c>
      <c r="D80" s="38">
        <v>2423.2365784229059</v>
      </c>
      <c r="E80" s="38">
        <v>1577.5427350427353</v>
      </c>
      <c r="F80" s="38">
        <v>11774.648036961711</v>
      </c>
      <c r="G80" s="38">
        <v>5477.6478168066587</v>
      </c>
      <c r="H80" s="38">
        <v>4870.8289664169388</v>
      </c>
      <c r="I80" s="38">
        <v>1426.171253738114</v>
      </c>
    </row>
    <row r="81" spans="1:9" x14ac:dyDescent="0.25">
      <c r="A81" s="32">
        <v>2017</v>
      </c>
      <c r="B81" s="32">
        <v>8</v>
      </c>
      <c r="C81" s="36">
        <v>16281.837606837606</v>
      </c>
      <c r="D81" s="38">
        <v>2507.3298991499873</v>
      </c>
      <c r="E81" s="38">
        <v>1628.1837606837607</v>
      </c>
      <c r="F81" s="38">
        <v>12146.323947003861</v>
      </c>
      <c r="G81" s="38">
        <v>5652.3589830295605</v>
      </c>
      <c r="H81" s="38">
        <v>5022.8320766658553</v>
      </c>
      <c r="I81" s="38">
        <v>1471.1328873084431</v>
      </c>
    </row>
    <row r="82" spans="1:9" x14ac:dyDescent="0.25">
      <c r="A82" s="32">
        <v>2017</v>
      </c>
      <c r="B82" s="32">
        <v>9</v>
      </c>
      <c r="C82" s="36">
        <v>16788.247863247863</v>
      </c>
      <c r="D82" s="38">
        <v>2591.4232198770692</v>
      </c>
      <c r="E82" s="38">
        <v>1678.8247863247866</v>
      </c>
      <c r="F82" s="38">
        <v>12517.999857046008</v>
      </c>
      <c r="G82" s="38">
        <v>5827.070149252464</v>
      </c>
      <c r="H82" s="38">
        <v>5174.8351869147718</v>
      </c>
      <c r="I82" s="38">
        <v>1516.0945208787725</v>
      </c>
    </row>
    <row r="83" spans="1:9" x14ac:dyDescent="0.25">
      <c r="A83" s="32">
        <v>2017</v>
      </c>
      <c r="B83" s="32">
        <v>10</v>
      </c>
      <c r="C83" s="36">
        <v>17294.658119658121</v>
      </c>
      <c r="D83" s="38">
        <v>2675.516540604151</v>
      </c>
      <c r="E83" s="38">
        <v>1729.465811965812</v>
      </c>
      <c r="F83" s="38">
        <v>12889.675767088158</v>
      </c>
      <c r="G83" s="38">
        <v>6001.7813154753658</v>
      </c>
      <c r="H83" s="38">
        <v>5326.8382971636893</v>
      </c>
      <c r="I83" s="38">
        <v>1561.0561544491018</v>
      </c>
    </row>
    <row r="84" spans="1:9" x14ac:dyDescent="0.25">
      <c r="A84" s="32">
        <v>2017</v>
      </c>
      <c r="B84" s="32">
        <v>11</v>
      </c>
      <c r="C84" s="36">
        <v>17801.068376068375</v>
      </c>
      <c r="D84" s="38">
        <v>2759.6098613312329</v>
      </c>
      <c r="E84" s="38">
        <v>1780.1068376068379</v>
      </c>
      <c r="F84" s="38">
        <v>13261.351677130304</v>
      </c>
      <c r="G84" s="38">
        <v>6176.4924816982675</v>
      </c>
      <c r="H84" s="38">
        <v>5478.8414074126058</v>
      </c>
      <c r="I84" s="38">
        <v>1606.0177880194308</v>
      </c>
    </row>
    <row r="85" spans="1:9" x14ac:dyDescent="0.25">
      <c r="A85" s="32">
        <v>2017</v>
      </c>
      <c r="B85" s="32">
        <v>12</v>
      </c>
      <c r="C85" s="36">
        <v>18307.478632478633</v>
      </c>
      <c r="D85" s="38">
        <v>2843.7031820583147</v>
      </c>
      <c r="E85" s="38">
        <v>1830.7478632478633</v>
      </c>
      <c r="F85" s="38">
        <v>13633.027587172455</v>
      </c>
      <c r="G85" s="38">
        <v>6351.2036479211711</v>
      </c>
      <c r="H85" s="38">
        <v>5630.8445176615232</v>
      </c>
      <c r="I85" s="38">
        <v>1650.9794215897605</v>
      </c>
    </row>
    <row r="86" spans="1:9" x14ac:dyDescent="0.25">
      <c r="A86" s="32">
        <v>2018</v>
      </c>
      <c r="B86" s="32">
        <v>1</v>
      </c>
      <c r="C86" s="36">
        <v>19235.897435897437</v>
      </c>
      <c r="D86" s="38">
        <v>2893.5163976501585</v>
      </c>
      <c r="E86" s="38">
        <v>1923.5897435897436</v>
      </c>
      <c r="F86" s="38">
        <v>14418.791294657532</v>
      </c>
      <c r="G86" s="38">
        <v>6657.5076252231011</v>
      </c>
      <c r="H86" s="38">
        <v>6015.2891059656522</v>
      </c>
      <c r="I86" s="38">
        <v>1745.9945634687783</v>
      </c>
    </row>
    <row r="87" spans="1:9" x14ac:dyDescent="0.25">
      <c r="A87" s="32">
        <v>2018</v>
      </c>
      <c r="B87" s="32">
        <v>2</v>
      </c>
      <c r="C87" s="36">
        <v>19657.905982905984</v>
      </c>
      <c r="D87" s="38">
        <v>2964.949461966984</v>
      </c>
      <c r="E87" s="38">
        <v>1965.7905982905984</v>
      </c>
      <c r="F87" s="38">
        <v>14727.165922648401</v>
      </c>
      <c r="G87" s="38">
        <v>6803.2820796829683</v>
      </c>
      <c r="H87" s="38">
        <v>6140.5846993179184</v>
      </c>
      <c r="I87" s="38">
        <v>1783.2991436475149</v>
      </c>
    </row>
    <row r="88" spans="1:9" x14ac:dyDescent="0.25">
      <c r="A88" s="32">
        <v>2018</v>
      </c>
      <c r="B88" s="32">
        <v>3</v>
      </c>
      <c r="C88" s="36">
        <v>20079.914529914531</v>
      </c>
      <c r="D88" s="38">
        <v>3036.3825262838091</v>
      </c>
      <c r="E88" s="38">
        <v>2007.9914529914531</v>
      </c>
      <c r="F88" s="38">
        <v>15035.540550639269</v>
      </c>
      <c r="G88" s="38">
        <v>6949.0565341428337</v>
      </c>
      <c r="H88" s="38">
        <v>6265.8802926701828</v>
      </c>
      <c r="I88" s="38">
        <v>1820.6037238262516</v>
      </c>
    </row>
    <row r="89" spans="1:9" x14ac:dyDescent="0.25">
      <c r="A89" s="32">
        <v>2018</v>
      </c>
      <c r="B89" s="32">
        <v>4</v>
      </c>
      <c r="C89" s="36">
        <v>20501.923076923078</v>
      </c>
      <c r="D89" s="38">
        <v>3107.815590600635</v>
      </c>
      <c r="E89" s="38">
        <v>2050.1923076923076</v>
      </c>
      <c r="F89" s="38">
        <v>15343.915178630134</v>
      </c>
      <c r="G89" s="38">
        <v>7094.8309886027</v>
      </c>
      <c r="H89" s="38">
        <v>6391.1758860224481</v>
      </c>
      <c r="I89" s="38">
        <v>1857.9083040049882</v>
      </c>
    </row>
    <row r="90" spans="1:9" x14ac:dyDescent="0.25">
      <c r="A90" s="32">
        <v>2018</v>
      </c>
      <c r="B90" s="32">
        <v>5</v>
      </c>
      <c r="C90" s="36">
        <v>20923.931623931625</v>
      </c>
      <c r="D90" s="38">
        <v>3179.24865491746</v>
      </c>
      <c r="E90" s="38">
        <v>2092.3931623931626</v>
      </c>
      <c r="F90" s="38">
        <v>15652.289806621002</v>
      </c>
      <c r="G90" s="38">
        <v>7240.6054430625645</v>
      </c>
      <c r="H90" s="38">
        <v>6516.4714793747125</v>
      </c>
      <c r="I90" s="38">
        <v>1895.2128841837243</v>
      </c>
    </row>
    <row r="91" spans="1:9" x14ac:dyDescent="0.25">
      <c r="A91" s="32">
        <v>2018</v>
      </c>
      <c r="B91" s="32">
        <v>6</v>
      </c>
      <c r="C91" s="36">
        <v>21345.940170940172</v>
      </c>
      <c r="D91" s="38">
        <v>3250.6817192342855</v>
      </c>
      <c r="E91" s="38">
        <v>2134.5940170940171</v>
      </c>
      <c r="F91" s="38">
        <v>15960.664434611868</v>
      </c>
      <c r="G91" s="38">
        <v>7386.3798975224299</v>
      </c>
      <c r="H91" s="38">
        <v>6641.7670727269779</v>
      </c>
      <c r="I91" s="38">
        <v>1932.5174643624609</v>
      </c>
    </row>
    <row r="92" spans="1:9" x14ac:dyDescent="0.25">
      <c r="A92" s="32">
        <v>2018</v>
      </c>
      <c r="B92" s="32">
        <v>7</v>
      </c>
      <c r="C92" s="36">
        <v>21767.948717948719</v>
      </c>
      <c r="D92" s="38">
        <v>3322.114783551111</v>
      </c>
      <c r="E92" s="38">
        <v>2176.7948717948721</v>
      </c>
      <c r="F92" s="38">
        <v>16269.039062602737</v>
      </c>
      <c r="G92" s="38">
        <v>7532.1543519822972</v>
      </c>
      <c r="H92" s="38">
        <v>6767.0626660792432</v>
      </c>
      <c r="I92" s="38">
        <v>1969.8220445411978</v>
      </c>
    </row>
    <row r="93" spans="1:9" x14ac:dyDescent="0.25">
      <c r="A93" s="32">
        <v>2018</v>
      </c>
      <c r="B93" s="32">
        <v>8</v>
      </c>
      <c r="C93" s="36">
        <v>22189.957264957266</v>
      </c>
      <c r="D93" s="38">
        <v>3393.5478478679361</v>
      </c>
      <c r="E93" s="38">
        <v>2218.9957264957266</v>
      </c>
      <c r="F93" s="38">
        <v>16577.413690593603</v>
      </c>
      <c r="G93" s="38">
        <v>7677.9288064421617</v>
      </c>
      <c r="H93" s="38">
        <v>6892.3582594315076</v>
      </c>
      <c r="I93" s="38">
        <v>2007.1266247199342</v>
      </c>
    </row>
    <row r="94" spans="1:9" x14ac:dyDescent="0.25">
      <c r="A94" s="32">
        <v>2018</v>
      </c>
      <c r="B94" s="32">
        <v>9</v>
      </c>
      <c r="C94" s="36">
        <v>22611.965811965812</v>
      </c>
      <c r="D94" s="38">
        <v>3464.9809121847616</v>
      </c>
      <c r="E94" s="38">
        <v>2261.1965811965815</v>
      </c>
      <c r="F94" s="38">
        <v>16885.788318584469</v>
      </c>
      <c r="G94" s="38">
        <v>7823.703260902028</v>
      </c>
      <c r="H94" s="38">
        <v>7017.653852783772</v>
      </c>
      <c r="I94" s="38">
        <v>2044.4312048986708</v>
      </c>
    </row>
    <row r="95" spans="1:9" x14ac:dyDescent="0.25">
      <c r="A95" s="32">
        <v>2018</v>
      </c>
      <c r="B95" s="32">
        <v>10</v>
      </c>
      <c r="C95" s="36">
        <v>23033.974358974359</v>
      </c>
      <c r="D95" s="38">
        <v>3536.4139765015871</v>
      </c>
      <c r="E95" s="38">
        <v>2303.397435897436</v>
      </c>
      <c r="F95" s="38">
        <v>17194.162946575336</v>
      </c>
      <c r="G95" s="38">
        <v>7969.4777153618925</v>
      </c>
      <c r="H95" s="38">
        <v>7142.9494461360373</v>
      </c>
      <c r="I95" s="38">
        <v>2081.7357850774074</v>
      </c>
    </row>
    <row r="96" spans="1:9" x14ac:dyDescent="0.25">
      <c r="A96" s="32">
        <v>2018</v>
      </c>
      <c r="B96" s="32">
        <v>11</v>
      </c>
      <c r="C96" s="36">
        <v>23455.982905982906</v>
      </c>
      <c r="D96" s="38">
        <v>3607.8470408184126</v>
      </c>
      <c r="E96" s="38">
        <v>2345.598290598291</v>
      </c>
      <c r="F96" s="38">
        <v>17502.537574566202</v>
      </c>
      <c r="G96" s="38">
        <v>8115.252169821757</v>
      </c>
      <c r="H96" s="38">
        <v>7268.2450394883017</v>
      </c>
      <c r="I96" s="38">
        <v>2119.0403652561436</v>
      </c>
    </row>
    <row r="97" spans="1:9" x14ac:dyDescent="0.25">
      <c r="A97" s="32">
        <v>2018</v>
      </c>
      <c r="B97" s="32">
        <v>12</v>
      </c>
      <c r="C97" s="36">
        <v>23877.991452991453</v>
      </c>
      <c r="D97" s="38">
        <v>3679.2801051352376</v>
      </c>
      <c r="E97" s="38">
        <v>2387.7991452991455</v>
      </c>
      <c r="F97" s="38">
        <v>17810.912202557069</v>
      </c>
      <c r="G97" s="38">
        <v>8261.0266242816233</v>
      </c>
      <c r="H97" s="38">
        <v>7393.5406328405661</v>
      </c>
      <c r="I97" s="38">
        <v>2156.3449454348806</v>
      </c>
    </row>
    <row r="98" spans="1:9" x14ac:dyDescent="0.25">
      <c r="A98" s="32">
        <v>2019</v>
      </c>
      <c r="B98" s="32">
        <v>1</v>
      </c>
      <c r="C98" s="36">
        <v>24722.008547008547</v>
      </c>
      <c r="D98" s="38">
        <v>3716.433064316825</v>
      </c>
      <c r="E98" s="38">
        <v>2472.2008547008545</v>
      </c>
      <c r="F98" s="38">
        <v>18533.374627990866</v>
      </c>
      <c r="G98" s="38">
        <v>8526.4268518040408</v>
      </c>
      <c r="H98" s="38">
        <v>7764.7924304723156</v>
      </c>
      <c r="I98" s="38">
        <v>2242.1553457145083</v>
      </c>
    </row>
    <row r="99" spans="1:9" x14ac:dyDescent="0.25">
      <c r="A99" s="32">
        <v>2019</v>
      </c>
      <c r="B99" s="32">
        <v>2</v>
      </c>
      <c r="C99" s="36">
        <v>25144.017094017094</v>
      </c>
      <c r="D99" s="38">
        <v>3787.8661286336505</v>
      </c>
      <c r="E99" s="38">
        <v>2514.4017094017095</v>
      </c>
      <c r="F99" s="38">
        <v>18841.749255981733</v>
      </c>
      <c r="G99" s="38">
        <v>8672.2013062639071</v>
      </c>
      <c r="H99" s="38">
        <v>7890.0880238245818</v>
      </c>
      <c r="I99" s="38">
        <v>2279.4599258932449</v>
      </c>
    </row>
    <row r="100" spans="1:9" x14ac:dyDescent="0.25">
      <c r="A100" s="32">
        <v>2019</v>
      </c>
      <c r="B100" s="32">
        <v>3</v>
      </c>
      <c r="C100" s="36">
        <v>25566.025641025641</v>
      </c>
      <c r="D100" s="38">
        <v>3859.2991929504756</v>
      </c>
      <c r="E100" s="38">
        <v>2556.602564102564</v>
      </c>
      <c r="F100" s="38">
        <v>19150.123883972599</v>
      </c>
      <c r="G100" s="38">
        <v>8817.9757607237734</v>
      </c>
      <c r="H100" s="38">
        <v>8015.3836171768462</v>
      </c>
      <c r="I100" s="38">
        <v>2316.7645060719815</v>
      </c>
    </row>
    <row r="101" spans="1:9" x14ac:dyDescent="0.25">
      <c r="A101" s="32">
        <v>2019</v>
      </c>
      <c r="B101" s="32">
        <v>4</v>
      </c>
      <c r="C101" s="36">
        <v>25988.034188034188</v>
      </c>
      <c r="D101" s="38">
        <v>3930.7322572673015</v>
      </c>
      <c r="E101" s="38">
        <v>2598.8034188034189</v>
      </c>
      <c r="F101" s="38">
        <v>19458.498511963466</v>
      </c>
      <c r="G101" s="38">
        <v>8963.7502151836397</v>
      </c>
      <c r="H101" s="38">
        <v>8140.6792105291115</v>
      </c>
      <c r="I101" s="38">
        <v>2354.0690862507181</v>
      </c>
    </row>
    <row r="102" spans="1:9" x14ac:dyDescent="0.25">
      <c r="A102" s="32">
        <v>2019</v>
      </c>
      <c r="B102" s="32">
        <v>5</v>
      </c>
      <c r="C102" s="36">
        <v>26410.042735042734</v>
      </c>
      <c r="D102" s="38">
        <v>4002.1653215841266</v>
      </c>
      <c r="E102" s="38">
        <v>2641.0042735042734</v>
      </c>
      <c r="F102" s="38">
        <v>19766.873139954336</v>
      </c>
      <c r="G102" s="38">
        <v>9109.5246696435042</v>
      </c>
      <c r="H102" s="38">
        <v>8265.9748038813759</v>
      </c>
      <c r="I102" s="38">
        <v>2391.3736664294543</v>
      </c>
    </row>
    <row r="103" spans="1:9" x14ac:dyDescent="0.25">
      <c r="A103" s="32">
        <v>2019</v>
      </c>
      <c r="B103" s="32">
        <v>6</v>
      </c>
      <c r="C103" s="36">
        <v>26832.051282051281</v>
      </c>
      <c r="D103" s="38">
        <v>4073.5983859009521</v>
      </c>
      <c r="E103" s="38">
        <v>2683.2051282051279</v>
      </c>
      <c r="F103" s="38">
        <v>20075.247767945202</v>
      </c>
      <c r="G103" s="38">
        <v>9255.2991241033687</v>
      </c>
      <c r="H103" s="38">
        <v>8391.2703972336421</v>
      </c>
      <c r="I103" s="38">
        <v>2428.6782466081909</v>
      </c>
    </row>
    <row r="104" spans="1:9" x14ac:dyDescent="0.25">
      <c r="A104" s="32">
        <v>2019</v>
      </c>
      <c r="B104" s="32">
        <v>7</v>
      </c>
      <c r="C104" s="36">
        <v>27254.059829059828</v>
      </c>
      <c r="D104" s="38">
        <v>4145.0314502177771</v>
      </c>
      <c r="E104" s="38">
        <v>2725.4059829059834</v>
      </c>
      <c r="F104" s="38">
        <v>20383.622395936069</v>
      </c>
      <c r="G104" s="38">
        <v>9401.0735785632369</v>
      </c>
      <c r="H104" s="38">
        <v>8516.5659905859065</v>
      </c>
      <c r="I104" s="38">
        <v>2465.9828267869279</v>
      </c>
    </row>
    <row r="105" spans="1:9" x14ac:dyDescent="0.25">
      <c r="A105" s="32">
        <v>2019</v>
      </c>
      <c r="B105" s="32">
        <v>8</v>
      </c>
      <c r="C105" s="36">
        <v>27676.068376068375</v>
      </c>
      <c r="D105" s="38">
        <v>4216.4645145346021</v>
      </c>
      <c r="E105" s="38">
        <v>2767.6068376068379</v>
      </c>
      <c r="F105" s="38">
        <v>20691.997023926935</v>
      </c>
      <c r="G105" s="38">
        <v>9546.8480330231014</v>
      </c>
      <c r="H105" s="38">
        <v>8641.861583938171</v>
      </c>
      <c r="I105" s="38">
        <v>2503.2874069656641</v>
      </c>
    </row>
    <row r="106" spans="1:9" x14ac:dyDescent="0.25">
      <c r="A106" s="32">
        <v>2019</v>
      </c>
      <c r="B106" s="32">
        <v>9</v>
      </c>
      <c r="C106" s="36">
        <v>28098.076923076922</v>
      </c>
      <c r="D106" s="38">
        <v>4287.8975788514281</v>
      </c>
      <c r="E106" s="38">
        <v>2809.8076923076924</v>
      </c>
      <c r="F106" s="38">
        <v>21000.371651917802</v>
      </c>
      <c r="G106" s="38">
        <v>9692.6224874829677</v>
      </c>
      <c r="H106" s="38">
        <v>8767.1571772904354</v>
      </c>
      <c r="I106" s="38">
        <v>2540.5919871444007</v>
      </c>
    </row>
    <row r="107" spans="1:9" x14ac:dyDescent="0.25">
      <c r="A107" s="32">
        <v>2019</v>
      </c>
      <c r="B107" s="32">
        <v>10</v>
      </c>
      <c r="C107" s="36">
        <v>28520.085470085469</v>
      </c>
      <c r="D107" s="38">
        <v>4359.330643168254</v>
      </c>
      <c r="E107" s="38">
        <v>2852.0085470085469</v>
      </c>
      <c r="F107" s="38">
        <v>21308.746279908668</v>
      </c>
      <c r="G107" s="38">
        <v>9838.3969419428322</v>
      </c>
      <c r="H107" s="38">
        <v>8892.4527706427016</v>
      </c>
      <c r="I107" s="38">
        <v>2577.8965673231373</v>
      </c>
    </row>
    <row r="108" spans="1:9" x14ac:dyDescent="0.25">
      <c r="A108" s="32">
        <v>2019</v>
      </c>
      <c r="B108" s="32">
        <v>11</v>
      </c>
      <c r="C108" s="36">
        <v>28942.094017094016</v>
      </c>
      <c r="D108" s="38">
        <v>4430.7637074850791</v>
      </c>
      <c r="E108" s="38">
        <v>2894.2094017094023</v>
      </c>
      <c r="F108" s="38">
        <v>21617.120907899534</v>
      </c>
      <c r="G108" s="38">
        <v>9984.1713964026967</v>
      </c>
      <c r="H108" s="38">
        <v>9017.748363994966</v>
      </c>
      <c r="I108" s="38">
        <v>2615.2011475018735</v>
      </c>
    </row>
    <row r="109" spans="1:9" x14ac:dyDescent="0.25">
      <c r="A109" s="32">
        <v>2019</v>
      </c>
      <c r="B109" s="32">
        <v>12</v>
      </c>
      <c r="C109" s="36">
        <v>29364.102564102563</v>
      </c>
      <c r="D109" s="38">
        <v>4502.1967718019041</v>
      </c>
      <c r="E109" s="38">
        <v>2936.4102564102568</v>
      </c>
      <c r="F109" s="38">
        <v>21925.495535890401</v>
      </c>
      <c r="G109" s="38">
        <v>10129.945850862563</v>
      </c>
      <c r="H109" s="38">
        <v>9143.0439573472304</v>
      </c>
      <c r="I109" s="38">
        <v>2652.5057276806106</v>
      </c>
    </row>
    <row r="110" spans="1:9" x14ac:dyDescent="0.25">
      <c r="A110" s="32">
        <v>2020</v>
      </c>
      <c r="B110" s="32">
        <v>1</v>
      </c>
      <c r="C110" s="36">
        <v>30208.119658119656</v>
      </c>
      <c r="D110" s="38">
        <v>4539.3497309834911</v>
      </c>
      <c r="E110" s="38">
        <v>3020.8119658119658</v>
      </c>
      <c r="F110" s="38">
        <v>22647.957961324199</v>
      </c>
      <c r="G110" s="38">
        <v>10386.540861163261</v>
      </c>
      <c r="H110" s="38">
        <v>9525.2970124920485</v>
      </c>
      <c r="I110" s="38">
        <v>2736.1200876688877</v>
      </c>
    </row>
    <row r="111" spans="1:9" x14ac:dyDescent="0.25">
      <c r="A111" s="32">
        <v>2020</v>
      </c>
      <c r="B111" s="32">
        <v>2</v>
      </c>
      <c r="C111" s="36">
        <v>30630.128205128203</v>
      </c>
      <c r="D111" s="38">
        <v>4610.782795300317</v>
      </c>
      <c r="E111" s="38">
        <v>3063.0128205128203</v>
      </c>
      <c r="F111" s="38">
        <v>22956.332589315065</v>
      </c>
      <c r="G111" s="38">
        <v>10532.315315623127</v>
      </c>
      <c r="H111" s="38">
        <v>9650.5926058443147</v>
      </c>
      <c r="I111" s="38">
        <v>2773.4246678476243</v>
      </c>
    </row>
    <row r="112" spans="1:9" x14ac:dyDescent="0.25">
      <c r="A112" s="32">
        <v>2020</v>
      </c>
      <c r="B112" s="32">
        <v>3</v>
      </c>
      <c r="C112" s="36">
        <v>31052.13675213675</v>
      </c>
      <c r="D112" s="38">
        <v>4682.2158596171421</v>
      </c>
      <c r="E112" s="38">
        <v>3105.2136752136748</v>
      </c>
      <c r="F112" s="38">
        <v>23264.707217305931</v>
      </c>
      <c r="G112" s="38">
        <v>10678.089770082994</v>
      </c>
      <c r="H112" s="38">
        <v>9775.8881991965791</v>
      </c>
      <c r="I112" s="38">
        <v>2810.7292480263609</v>
      </c>
    </row>
    <row r="113" spans="1:9" x14ac:dyDescent="0.25">
      <c r="A113" s="32">
        <v>2020</v>
      </c>
      <c r="B113" s="32">
        <v>4</v>
      </c>
      <c r="C113" s="36">
        <v>31474.145299145297</v>
      </c>
      <c r="D113" s="38">
        <v>4753.648923933968</v>
      </c>
      <c r="E113" s="38">
        <v>3147.4145299145302</v>
      </c>
      <c r="F113" s="38">
        <v>23573.081845296798</v>
      </c>
      <c r="G113" s="38">
        <v>10823.86422454286</v>
      </c>
      <c r="H113" s="38">
        <v>9901.1837925488453</v>
      </c>
      <c r="I113" s="38">
        <v>2848.0338282050975</v>
      </c>
    </row>
    <row r="114" spans="1:9" x14ac:dyDescent="0.25">
      <c r="A114" s="32">
        <v>2020</v>
      </c>
      <c r="B114" s="32">
        <v>5</v>
      </c>
      <c r="C114" s="36">
        <v>31896.153846153844</v>
      </c>
      <c r="D114" s="38">
        <v>4825.0819882507931</v>
      </c>
      <c r="E114" s="38">
        <v>3189.6153846153848</v>
      </c>
      <c r="F114" s="38">
        <v>23881.456473287668</v>
      </c>
      <c r="G114" s="38">
        <v>10969.638679002725</v>
      </c>
      <c r="H114" s="38">
        <v>10026.47938590111</v>
      </c>
      <c r="I114" s="38">
        <v>2885.3384083838337</v>
      </c>
    </row>
    <row r="115" spans="1:9" x14ac:dyDescent="0.25">
      <c r="A115" s="32">
        <v>2020</v>
      </c>
      <c r="B115" s="32">
        <v>6</v>
      </c>
      <c r="C115" s="36">
        <v>32318.162393162391</v>
      </c>
      <c r="D115" s="38">
        <v>4896.5150525676181</v>
      </c>
      <c r="E115" s="38">
        <v>3231.8162393162393</v>
      </c>
      <c r="F115" s="38">
        <v>24189.831101278534</v>
      </c>
      <c r="G115" s="38">
        <v>11115.413133462589</v>
      </c>
      <c r="H115" s="38">
        <v>10151.774979253376</v>
      </c>
      <c r="I115" s="38">
        <v>2922.6429885625703</v>
      </c>
    </row>
    <row r="116" spans="1:9" x14ac:dyDescent="0.25">
      <c r="A116" s="32">
        <v>2020</v>
      </c>
      <c r="B116" s="32">
        <v>7</v>
      </c>
      <c r="C116" s="36">
        <v>32740.170940170938</v>
      </c>
      <c r="D116" s="38">
        <v>4967.9481168844432</v>
      </c>
      <c r="E116" s="38">
        <v>3274.0170940170947</v>
      </c>
      <c r="F116" s="38">
        <v>24498.205729269401</v>
      </c>
      <c r="G116" s="38">
        <v>11261.187587922457</v>
      </c>
      <c r="H116" s="38">
        <v>10277.07057260564</v>
      </c>
      <c r="I116" s="38">
        <v>2959.9475687413074</v>
      </c>
    </row>
    <row r="117" spans="1:9" x14ac:dyDescent="0.25">
      <c r="A117" s="32">
        <v>2020</v>
      </c>
      <c r="B117" s="32">
        <v>8</v>
      </c>
      <c r="C117" s="36">
        <v>33162.179487179485</v>
      </c>
      <c r="D117" s="38">
        <v>5039.3811812012682</v>
      </c>
      <c r="E117" s="38">
        <v>3316.2179487179492</v>
      </c>
      <c r="F117" s="38">
        <v>24806.580357260267</v>
      </c>
      <c r="G117" s="38">
        <v>11406.962042382322</v>
      </c>
      <c r="H117" s="38">
        <v>10402.366165957905</v>
      </c>
      <c r="I117" s="38">
        <v>2997.2521489200435</v>
      </c>
    </row>
    <row r="118" spans="1:9" x14ac:dyDescent="0.25">
      <c r="A118" s="32">
        <v>2020</v>
      </c>
      <c r="B118" s="32">
        <v>9</v>
      </c>
      <c r="C118" s="36">
        <v>33584.188034188031</v>
      </c>
      <c r="D118" s="38">
        <v>5110.814245518095</v>
      </c>
      <c r="E118" s="38">
        <v>3358.4188034188037</v>
      </c>
      <c r="F118" s="38">
        <v>25114.954985251134</v>
      </c>
      <c r="G118" s="38">
        <v>11552.736496842188</v>
      </c>
      <c r="H118" s="38">
        <v>10527.661759310169</v>
      </c>
      <c r="I118" s="38">
        <v>3034.5567290987801</v>
      </c>
    </row>
    <row r="119" spans="1:9" x14ac:dyDescent="0.25">
      <c r="A119" s="32">
        <v>2020</v>
      </c>
      <c r="B119" s="32">
        <v>10</v>
      </c>
      <c r="C119" s="36">
        <v>34006.196581196578</v>
      </c>
      <c r="D119" s="38">
        <v>5182.2473098349201</v>
      </c>
      <c r="E119" s="38">
        <v>3400.6196581196582</v>
      </c>
      <c r="F119" s="38">
        <v>25423.329613242</v>
      </c>
      <c r="G119" s="38">
        <v>11698.510951302052</v>
      </c>
      <c r="H119" s="38">
        <v>10652.957352662435</v>
      </c>
      <c r="I119" s="38">
        <v>3071.8613092775167</v>
      </c>
    </row>
    <row r="120" spans="1:9" x14ac:dyDescent="0.25">
      <c r="A120" s="32">
        <v>2020</v>
      </c>
      <c r="B120" s="32">
        <v>11</v>
      </c>
      <c r="C120" s="36">
        <v>34428.205128205125</v>
      </c>
      <c r="D120" s="38">
        <v>5253.6803741517451</v>
      </c>
      <c r="E120" s="38">
        <v>3442.8205128205136</v>
      </c>
      <c r="F120" s="38">
        <v>25731.704241232866</v>
      </c>
      <c r="G120" s="38">
        <v>11844.285405761917</v>
      </c>
      <c r="H120" s="38">
        <v>10778.2529460147</v>
      </c>
      <c r="I120" s="38">
        <v>3109.1658894562529</v>
      </c>
    </row>
    <row r="121" spans="1:9" x14ac:dyDescent="0.25">
      <c r="A121" s="32">
        <v>2020</v>
      </c>
      <c r="B121" s="32">
        <v>12</v>
      </c>
      <c r="C121" s="36">
        <v>34850.213675213672</v>
      </c>
      <c r="D121" s="38">
        <v>5325.1134384685702</v>
      </c>
      <c r="E121" s="38">
        <v>3485.0213675213681</v>
      </c>
      <c r="F121" s="38">
        <v>26040.078869223733</v>
      </c>
      <c r="G121" s="38">
        <v>11990.059860221783</v>
      </c>
      <c r="H121" s="38">
        <v>10903.548539366964</v>
      </c>
      <c r="I121" s="38">
        <v>3146.47046963499</v>
      </c>
    </row>
    <row r="122" spans="1:9" x14ac:dyDescent="0.25">
      <c r="A122" s="32"/>
      <c r="B122" s="32"/>
      <c r="C122" s="36"/>
      <c r="D122" s="38"/>
      <c r="E122" s="38"/>
      <c r="F122" s="38"/>
      <c r="G122" s="38"/>
      <c r="H122" s="38"/>
      <c r="I122" s="38"/>
    </row>
    <row r="123" spans="1:9" x14ac:dyDescent="0.25">
      <c r="A123" s="32"/>
      <c r="B123" s="32"/>
      <c r="C123" s="36"/>
      <c r="D123" s="38"/>
      <c r="E123" s="38"/>
      <c r="F123" s="38"/>
      <c r="G123" s="38"/>
      <c r="H123" s="38"/>
      <c r="I123" s="38"/>
    </row>
    <row r="124" spans="1:9" x14ac:dyDescent="0.25">
      <c r="A124" s="32"/>
      <c r="B124" s="32"/>
    </row>
    <row r="125" spans="1:9" x14ac:dyDescent="0.25">
      <c r="A125" s="32"/>
      <c r="B125" s="32"/>
      <c r="D125" s="38"/>
      <c r="E125" s="38"/>
      <c r="I125" s="38"/>
    </row>
    <row r="126" spans="1:9" x14ac:dyDescent="0.25">
      <c r="A126" s="32"/>
      <c r="B126" s="32"/>
      <c r="D126" s="38"/>
      <c r="E126" s="38"/>
      <c r="I126" s="38"/>
    </row>
    <row r="127" spans="1:9" x14ac:dyDescent="0.25">
      <c r="A127" s="32"/>
      <c r="B127" s="32"/>
      <c r="D127" s="38"/>
      <c r="E127" s="38"/>
      <c r="I127" s="38"/>
    </row>
    <row r="128" spans="1:9" x14ac:dyDescent="0.25">
      <c r="A128" s="32"/>
      <c r="B128" s="32"/>
      <c r="D128" s="38"/>
      <c r="E128" s="38"/>
      <c r="I128" s="38"/>
    </row>
    <row r="129" spans="1:9" x14ac:dyDescent="0.25">
      <c r="A129" s="32"/>
      <c r="B129" s="32"/>
      <c r="D129" s="38"/>
      <c r="E129" s="38"/>
      <c r="I129" s="38"/>
    </row>
    <row r="130" spans="1:9" x14ac:dyDescent="0.25">
      <c r="A130" s="32"/>
      <c r="B130" s="32"/>
      <c r="D130" s="38"/>
      <c r="E130" s="38"/>
      <c r="I130" s="38"/>
    </row>
    <row r="131" spans="1:9" x14ac:dyDescent="0.25">
      <c r="A131" s="32"/>
      <c r="B131" s="32"/>
      <c r="D131" s="38"/>
      <c r="E131" s="38"/>
      <c r="I131" s="38"/>
    </row>
    <row r="132" spans="1:9" x14ac:dyDescent="0.25">
      <c r="A132" s="32"/>
      <c r="B132" s="32"/>
      <c r="D132" s="38"/>
      <c r="E132" s="38"/>
      <c r="I132" s="38"/>
    </row>
    <row r="133" spans="1:9" x14ac:dyDescent="0.25">
      <c r="A133" s="32"/>
      <c r="B133" s="32"/>
      <c r="D133" s="38"/>
      <c r="E133" s="38"/>
      <c r="I133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workbookViewId="0">
      <selection activeCell="E11" sqref="E11"/>
    </sheetView>
  </sheetViews>
  <sheetFormatPr defaultRowHeight="15" x14ac:dyDescent="0.25"/>
  <cols>
    <col min="1" max="1" width="56.7109375" bestFit="1" customWidth="1"/>
    <col min="2" max="5" width="11.140625" customWidth="1"/>
  </cols>
  <sheetData>
    <row r="1" spans="1:6" x14ac:dyDescent="0.25">
      <c r="A1" s="19"/>
      <c r="B1" s="185" t="s">
        <v>14</v>
      </c>
      <c r="C1" s="185"/>
      <c r="D1" s="185"/>
      <c r="E1" s="185"/>
    </row>
    <row r="2" spans="1:6" x14ac:dyDescent="0.25">
      <c r="A2" s="19"/>
      <c r="B2" s="186" t="s">
        <v>21</v>
      </c>
      <c r="C2" s="186"/>
      <c r="D2" s="186" t="s">
        <v>22</v>
      </c>
      <c r="E2" s="186"/>
    </row>
    <row r="3" spans="1:6" x14ac:dyDescent="0.25">
      <c r="A3" s="19"/>
      <c r="B3" s="186"/>
      <c r="C3" s="186"/>
      <c r="D3" s="186"/>
      <c r="E3" s="186"/>
    </row>
    <row r="4" spans="1:6" x14ac:dyDescent="0.25">
      <c r="A4" s="21"/>
      <c r="B4" s="18">
        <v>2011</v>
      </c>
      <c r="C4" s="18">
        <v>2012</v>
      </c>
      <c r="D4" s="18">
        <v>2011</v>
      </c>
      <c r="E4" s="18">
        <v>2012</v>
      </c>
    </row>
    <row r="5" spans="1:6" x14ac:dyDescent="0.25">
      <c r="A5" s="19" t="s">
        <v>15</v>
      </c>
      <c r="B5" s="8">
        <v>6.5010000000000003</v>
      </c>
      <c r="C5" s="8">
        <v>9.1219999999999999</v>
      </c>
      <c r="D5" s="8">
        <v>9.9998400000000007</v>
      </c>
      <c r="E5" s="8">
        <v>5.5530790000000003</v>
      </c>
      <c r="F5" s="29">
        <f>E5/$E$11</f>
        <v>0.15823654222768291</v>
      </c>
    </row>
    <row r="6" spans="1:6" x14ac:dyDescent="0.25">
      <c r="A6" s="19" t="s">
        <v>16</v>
      </c>
      <c r="B6" s="8">
        <v>4.8490000000000002</v>
      </c>
      <c r="C6" s="8">
        <v>6.7610000000000001</v>
      </c>
      <c r="D6" s="8">
        <v>18.762478000000002</v>
      </c>
      <c r="E6" s="8">
        <v>26.544549</v>
      </c>
      <c r="F6" s="29">
        <f t="shared" ref="F6:F9" si="0">E6/$E$11</f>
        <v>0.75639436225439938</v>
      </c>
    </row>
    <row r="7" spans="1:6" x14ac:dyDescent="0.25">
      <c r="A7" s="19" t="s">
        <v>17</v>
      </c>
      <c r="B7" s="8">
        <v>8.1000000000000003E-2</v>
      </c>
      <c r="C7" s="8">
        <v>4.2000000000000003E-2</v>
      </c>
      <c r="D7" s="8">
        <v>0.53395199999999998</v>
      </c>
      <c r="E7" s="8">
        <v>1.01E-3</v>
      </c>
      <c r="F7" s="29">
        <f t="shared" si="0"/>
        <v>2.8780233029272543E-5</v>
      </c>
    </row>
    <row r="8" spans="1:6" x14ac:dyDescent="0.25">
      <c r="A8" s="19" t="s">
        <v>18</v>
      </c>
      <c r="B8" s="8"/>
      <c r="C8" s="8">
        <v>2.5999999999999999E-2</v>
      </c>
      <c r="D8" s="8"/>
      <c r="E8" s="8">
        <v>0.31976599999999999</v>
      </c>
      <c r="F8" s="29">
        <f t="shared" si="0"/>
        <v>9.1118217770676871E-3</v>
      </c>
    </row>
    <row r="9" spans="1:6" x14ac:dyDescent="0.25">
      <c r="A9" s="19" t="s">
        <v>19</v>
      </c>
      <c r="B9" s="9">
        <v>1.2549999999999999</v>
      </c>
      <c r="C9" s="9">
        <v>0.80700000000000005</v>
      </c>
      <c r="D9" s="9">
        <v>6.5510679999999999</v>
      </c>
      <c r="E9" s="9">
        <v>2.4310580000000002</v>
      </c>
      <c r="F9" s="29">
        <f t="shared" si="0"/>
        <v>6.9273678958096288E-2</v>
      </c>
    </row>
    <row r="10" spans="1:6" x14ac:dyDescent="0.25">
      <c r="A10" s="19" t="s">
        <v>20</v>
      </c>
      <c r="B10" s="10"/>
      <c r="C10" s="11">
        <v>-0.20899999999999999</v>
      </c>
      <c r="D10" s="10"/>
      <c r="E10" s="12">
        <v>0.24406900000000001</v>
      </c>
    </row>
    <row r="11" spans="1:6" ht="15.75" thickBot="1" x14ac:dyDescent="0.3">
      <c r="A11" s="20" t="s">
        <v>23</v>
      </c>
      <c r="B11" s="15">
        <f>SUM(B5:B9)</f>
        <v>12.686</v>
      </c>
      <c r="C11" s="15">
        <f>SUM(C5:C10)</f>
        <v>16.548999999999999</v>
      </c>
      <c r="D11" s="15">
        <f>SUM(D5:D9)</f>
        <v>35.847338000000001</v>
      </c>
      <c r="E11" s="16">
        <f>SUM(E5:E10)</f>
        <v>35.093531000000006</v>
      </c>
    </row>
    <row r="12" spans="1:6" ht="15.75" thickTop="1" x14ac:dyDescent="0.25">
      <c r="A12" s="19" t="s">
        <v>24</v>
      </c>
      <c r="B12">
        <v>85.26</v>
      </c>
      <c r="C12">
        <v>85.3</v>
      </c>
      <c r="D12">
        <v>374.73</v>
      </c>
      <c r="E12" s="25">
        <v>374.7</v>
      </c>
    </row>
    <row r="13" spans="1:6" x14ac:dyDescent="0.25">
      <c r="A13" s="19" t="s">
        <v>25</v>
      </c>
      <c r="D13">
        <v>141.4</v>
      </c>
      <c r="E13">
        <v>246</v>
      </c>
    </row>
    <row r="14" spans="1:6" x14ac:dyDescent="0.25">
      <c r="A14" s="19" t="s">
        <v>26</v>
      </c>
      <c r="B14" s="17">
        <f>B11/B12</f>
        <v>0.14879193056532958</v>
      </c>
      <c r="C14" s="17">
        <f>C11/C12</f>
        <v>0.19400937866354045</v>
      </c>
      <c r="D14" s="17">
        <f>D13/D12</f>
        <v>0.37733835027886747</v>
      </c>
      <c r="E14" s="17">
        <f>E13/E12</f>
        <v>0.6565252201761409</v>
      </c>
    </row>
    <row r="16" spans="1:6" x14ac:dyDescent="0.25">
      <c r="D16" s="48" t="s">
        <v>52</v>
      </c>
      <c r="E16" s="49"/>
      <c r="F16" s="50"/>
    </row>
    <row r="17" spans="2:6" x14ac:dyDescent="0.25">
      <c r="D17" s="51">
        <f>B11/(D11*1000)</f>
        <v>3.5388959704622976E-4</v>
      </c>
      <c r="E17" s="52">
        <f>C11/(E11*1000)</f>
        <v>4.7156839247666468E-4</v>
      </c>
      <c r="F17" s="53">
        <f>AVERAGE(D17:E17)</f>
        <v>4.1272899476144722E-4</v>
      </c>
    </row>
    <row r="18" spans="2:6" x14ac:dyDescent="0.25">
      <c r="B18" s="14"/>
      <c r="D18" s="14"/>
    </row>
    <row r="20" spans="2:6" x14ac:dyDescent="0.25">
      <c r="D20" s="13"/>
      <c r="E20" s="13"/>
    </row>
  </sheetData>
  <mergeCells count="3">
    <mergeCell ref="B1:E1"/>
    <mergeCell ref="B2:C3"/>
    <mergeCell ref="D2:E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workbookViewId="0">
      <selection activeCell="K18" sqref="K18"/>
    </sheetView>
  </sheetViews>
  <sheetFormatPr defaultRowHeight="15" x14ac:dyDescent="0.25"/>
  <cols>
    <col min="1" max="5" width="12.5703125" customWidth="1"/>
    <col min="6" max="9" width="12.28515625" customWidth="1"/>
    <col min="10" max="10" width="18.7109375" customWidth="1"/>
    <col min="11" max="11" width="12.28515625" customWidth="1"/>
    <col min="12" max="12" width="10.28515625" customWidth="1"/>
    <col min="13" max="13" width="9.5703125" bestFit="1" customWidth="1"/>
    <col min="14" max="14" width="11.28515625" customWidth="1"/>
    <col min="15" max="15" width="14.28515625" bestFit="1" customWidth="1"/>
    <col min="16" max="17" width="11.5703125" bestFit="1" customWidth="1"/>
    <col min="18" max="18" width="18" bestFit="1" customWidth="1"/>
  </cols>
  <sheetData>
    <row r="1" spans="1:18" x14ac:dyDescent="0.25">
      <c r="A1" s="7" t="s">
        <v>12</v>
      </c>
      <c r="B1" s="7"/>
      <c r="C1" s="7"/>
      <c r="D1" s="7"/>
      <c r="E1" s="157">
        <f>E12/1/3</f>
        <v>14133.333333333334</v>
      </c>
      <c r="F1" s="157">
        <f>+F13/2+$H$20</f>
        <v>48016.666666666672</v>
      </c>
      <c r="G1" s="157">
        <f>+G14/2+$F$13+$H$20</f>
        <v>107266.66666666667</v>
      </c>
      <c r="H1" s="157">
        <f>+H15/2+$F$13+$G$14+$H$20</f>
        <v>186266.66666666666</v>
      </c>
      <c r="I1" s="157">
        <f>+I16/2+$F$13+$G$14+$H$15+$H$20</f>
        <v>258683.33333333331</v>
      </c>
      <c r="J1" s="157">
        <f>+J17/2+$F$13+$G$14+$H$15+$I$16+$H$20</f>
        <v>324516.66666666669</v>
      </c>
      <c r="K1" s="157">
        <f>+K18/2+$F$13+$G$14+$H$15+$I$16+$J$17+$H$20</f>
        <v>390350</v>
      </c>
    </row>
    <row r="2" spans="1:18" x14ac:dyDescent="0.25">
      <c r="H2">
        <v>7</v>
      </c>
      <c r="I2" t="s">
        <v>0</v>
      </c>
      <c r="J2" s="1">
        <v>1000000000000</v>
      </c>
    </row>
    <row r="3" spans="1:18" x14ac:dyDescent="0.25">
      <c r="H3" s="1">
        <v>7000</v>
      </c>
      <c r="I3" t="s">
        <v>1</v>
      </c>
      <c r="J3" s="1">
        <v>1000000000</v>
      </c>
    </row>
    <row r="4" spans="1:18" x14ac:dyDescent="0.25">
      <c r="F4" t="s">
        <v>4</v>
      </c>
      <c r="H4" s="1">
        <v>7000000</v>
      </c>
      <c r="I4" t="s">
        <v>2</v>
      </c>
      <c r="J4" s="1">
        <v>1000000</v>
      </c>
      <c r="K4" t="s">
        <v>3</v>
      </c>
    </row>
    <row r="5" spans="1:18" x14ac:dyDescent="0.25">
      <c r="F5" t="s">
        <v>5</v>
      </c>
      <c r="G5" s="2"/>
      <c r="H5" s="3">
        <f>+Q17</f>
        <v>395000</v>
      </c>
      <c r="I5" t="str">
        <f>I4</f>
        <v>MWh</v>
      </c>
    </row>
    <row r="6" spans="1:18" x14ac:dyDescent="0.25">
      <c r="H6" s="3"/>
    </row>
    <row r="7" spans="1:18" x14ac:dyDescent="0.25">
      <c r="F7" t="s">
        <v>7</v>
      </c>
    </row>
    <row r="8" spans="1:18" ht="15.75" thickBot="1" x14ac:dyDescent="0.3">
      <c r="B8">
        <v>2011</v>
      </c>
      <c r="C8">
        <v>2012</v>
      </c>
      <c r="D8">
        <v>2013</v>
      </c>
      <c r="E8">
        <v>2014</v>
      </c>
      <c r="F8">
        <v>2015</v>
      </c>
      <c r="G8">
        <v>2016</v>
      </c>
      <c r="H8">
        <v>2017</v>
      </c>
      <c r="I8">
        <v>2018</v>
      </c>
      <c r="J8">
        <v>2019</v>
      </c>
      <c r="K8">
        <v>2020</v>
      </c>
      <c r="L8" t="s">
        <v>6</v>
      </c>
      <c r="M8" t="s">
        <v>30</v>
      </c>
      <c r="P8" t="s">
        <v>127</v>
      </c>
    </row>
    <row r="9" spans="1:18" x14ac:dyDescent="0.25">
      <c r="A9" s="34">
        <v>2011</v>
      </c>
      <c r="B9" s="137">
        <f>35847339.024/1000</f>
        <v>35847.339023999994</v>
      </c>
      <c r="C9" s="135"/>
      <c r="D9" s="135"/>
      <c r="E9" s="135"/>
      <c r="F9" s="5"/>
      <c r="G9" s="5"/>
      <c r="H9" s="5"/>
      <c r="I9" s="5"/>
      <c r="J9" s="5"/>
      <c r="K9" s="5"/>
      <c r="L9" s="45">
        <f>SUM(B9:K9)</f>
        <v>35847.339023999994</v>
      </c>
      <c r="M9" s="28">
        <v>1</v>
      </c>
      <c r="N9" s="44">
        <f>L9*(1-M9)</f>
        <v>0</v>
      </c>
      <c r="P9" s="140">
        <v>141300</v>
      </c>
      <c r="Q9" s="141"/>
      <c r="R9" s="142"/>
    </row>
    <row r="10" spans="1:18" x14ac:dyDescent="0.25">
      <c r="A10" s="34">
        <v>2012</v>
      </c>
      <c r="B10" s="136"/>
      <c r="C10" s="134">
        <f>'Past Savings'!E11*1000</f>
        <v>35093.531000000003</v>
      </c>
      <c r="D10" s="135"/>
      <c r="E10" s="135"/>
      <c r="F10" s="5"/>
      <c r="G10" s="5"/>
      <c r="H10" s="5"/>
      <c r="I10" s="5"/>
      <c r="J10" s="5"/>
      <c r="K10" s="5"/>
      <c r="L10" s="45">
        <f t="shared" ref="L10:L18" si="0">SUM(B10:K10)</f>
        <v>35093.531000000003</v>
      </c>
      <c r="M10" s="28">
        <v>1</v>
      </c>
      <c r="N10" s="44">
        <f t="shared" ref="N10:N18" si="1">L10*(1-M10)</f>
        <v>0</v>
      </c>
      <c r="P10" s="143">
        <v>104600</v>
      </c>
      <c r="Q10" s="10"/>
      <c r="R10" s="144"/>
    </row>
    <row r="11" spans="1:18" x14ac:dyDescent="0.25">
      <c r="A11" s="34">
        <v>2013</v>
      </c>
      <c r="B11" s="136"/>
      <c r="C11" s="136"/>
      <c r="D11" s="137">
        <f>42598285.23/1000</f>
        <v>42598.285229999994</v>
      </c>
      <c r="E11" s="135"/>
      <c r="F11" s="5"/>
      <c r="G11" s="5"/>
      <c r="H11" s="5"/>
      <c r="I11" s="5"/>
      <c r="J11" s="5"/>
      <c r="K11" s="5"/>
      <c r="L11" s="45">
        <f t="shared" si="0"/>
        <v>42598.285229999994</v>
      </c>
      <c r="M11" s="28">
        <v>1</v>
      </c>
      <c r="N11" s="40">
        <f t="shared" si="1"/>
        <v>0</v>
      </c>
      <c r="O11" s="26"/>
      <c r="P11" s="143">
        <v>86400</v>
      </c>
      <c r="Q11" s="10"/>
      <c r="R11" s="144"/>
    </row>
    <row r="12" spans="1:18" x14ac:dyDescent="0.25">
      <c r="A12" s="34">
        <v>2014</v>
      </c>
      <c r="B12" s="136"/>
      <c r="C12" s="136"/>
      <c r="D12" s="136"/>
      <c r="E12" s="137">
        <f>(374.7*1000)-(SUM(P9:P11))</f>
        <v>42400</v>
      </c>
      <c r="F12" s="5"/>
      <c r="G12" s="5"/>
      <c r="H12" s="5"/>
      <c r="I12" s="5"/>
      <c r="J12" s="5"/>
      <c r="K12" s="5"/>
      <c r="L12" s="45">
        <f t="shared" si="0"/>
        <v>42400</v>
      </c>
      <c r="M12" s="28">
        <f>I20/E12</f>
        <v>0.33333333333333331</v>
      </c>
      <c r="N12" s="40">
        <f t="shared" si="1"/>
        <v>28266.666666666672</v>
      </c>
      <c r="O12" s="26">
        <f>+N12</f>
        <v>28266.666666666672</v>
      </c>
      <c r="P12" s="143">
        <f>E12*1</f>
        <v>42400</v>
      </c>
      <c r="Q12" s="145">
        <f>SUM(P9:P12)</f>
        <v>374700</v>
      </c>
      <c r="R12" s="144"/>
    </row>
    <row r="13" spans="1:18" x14ac:dyDescent="0.25">
      <c r="A13">
        <v>2015</v>
      </c>
      <c r="B13" s="136"/>
      <c r="C13" s="136"/>
      <c r="D13" s="136"/>
      <c r="E13" s="136"/>
      <c r="F13" s="139">
        <f>(Q17/2)*0.2</f>
        <v>39500</v>
      </c>
      <c r="G13" s="5"/>
      <c r="H13" s="5"/>
      <c r="I13" s="5"/>
      <c r="J13" s="5"/>
      <c r="K13" s="5"/>
      <c r="L13" s="36">
        <f t="shared" si="0"/>
        <v>39500</v>
      </c>
      <c r="M13" s="28">
        <v>0</v>
      </c>
      <c r="N13" s="35">
        <f t="shared" si="1"/>
        <v>39500</v>
      </c>
      <c r="O13" s="26">
        <f t="shared" ref="O13:O17" si="2">+N13</f>
        <v>39500</v>
      </c>
      <c r="P13" s="146"/>
      <c r="Q13" s="151">
        <v>374730</v>
      </c>
      <c r="R13" s="144" t="s">
        <v>128</v>
      </c>
    </row>
    <row r="14" spans="1:18" x14ac:dyDescent="0.25">
      <c r="A14">
        <v>2016</v>
      </c>
      <c r="B14" s="4"/>
      <c r="C14" s="4"/>
      <c r="D14" s="4"/>
      <c r="E14" s="4"/>
      <c r="F14" s="4"/>
      <c r="G14" s="139">
        <f>(Q17/2)*0.4</f>
        <v>79000</v>
      </c>
      <c r="H14" s="5"/>
      <c r="I14" s="5"/>
      <c r="J14" s="5"/>
      <c r="K14" s="5"/>
      <c r="L14" s="36">
        <f t="shared" si="0"/>
        <v>79000</v>
      </c>
      <c r="M14" s="28">
        <f t="shared" ref="M14:M18" si="3">M13</f>
        <v>0</v>
      </c>
      <c r="N14" s="35">
        <f t="shared" si="1"/>
        <v>79000</v>
      </c>
      <c r="O14" s="26">
        <f t="shared" si="2"/>
        <v>79000</v>
      </c>
      <c r="P14" s="146"/>
      <c r="Q14" s="145">
        <f>Q12-Q13</f>
        <v>-30</v>
      </c>
      <c r="R14" s="144" t="s">
        <v>125</v>
      </c>
    </row>
    <row r="15" spans="1:18" x14ac:dyDescent="0.25">
      <c r="A15">
        <v>2017</v>
      </c>
      <c r="B15" s="4"/>
      <c r="C15" s="4"/>
      <c r="D15" s="4"/>
      <c r="E15" s="4"/>
      <c r="F15" s="4"/>
      <c r="G15" s="4"/>
      <c r="H15" s="139">
        <f>+G14</f>
        <v>79000</v>
      </c>
      <c r="I15" s="5"/>
      <c r="J15" s="5"/>
      <c r="K15" s="5"/>
      <c r="L15" s="36">
        <f t="shared" si="0"/>
        <v>79000</v>
      </c>
      <c r="M15" s="28">
        <f t="shared" si="3"/>
        <v>0</v>
      </c>
      <c r="N15" s="35">
        <f t="shared" si="1"/>
        <v>79000</v>
      </c>
      <c r="O15" s="26">
        <f t="shared" si="2"/>
        <v>79000</v>
      </c>
      <c r="P15" s="146"/>
      <c r="Q15" s="10"/>
      <c r="R15" s="144"/>
    </row>
    <row r="16" spans="1:18" x14ac:dyDescent="0.25">
      <c r="A16">
        <v>2018</v>
      </c>
      <c r="B16" s="4"/>
      <c r="C16" s="4"/>
      <c r="D16" s="4"/>
      <c r="E16" s="4"/>
      <c r="F16" s="4"/>
      <c r="G16" s="4"/>
      <c r="H16" s="4"/>
      <c r="I16" s="139">
        <f>(Q17/2)/3</f>
        <v>65833.333333333328</v>
      </c>
      <c r="J16" s="5"/>
      <c r="K16" s="5"/>
      <c r="L16" s="36">
        <f t="shared" si="0"/>
        <v>65833.333333333328</v>
      </c>
      <c r="M16" s="28">
        <f t="shared" si="3"/>
        <v>0</v>
      </c>
      <c r="N16" s="35">
        <f t="shared" si="1"/>
        <v>65833.333333333328</v>
      </c>
      <c r="O16" s="26">
        <f t="shared" si="2"/>
        <v>65833.333333333328</v>
      </c>
      <c r="P16" s="146"/>
      <c r="Q16" s="10"/>
      <c r="R16" s="144"/>
    </row>
    <row r="17" spans="1:18" ht="15.75" thickBot="1" x14ac:dyDescent="0.3">
      <c r="A17">
        <v>2019</v>
      </c>
      <c r="B17" s="4"/>
      <c r="C17" s="4"/>
      <c r="D17" s="4"/>
      <c r="E17" s="4"/>
      <c r="F17" s="4"/>
      <c r="G17" s="4"/>
      <c r="H17" s="4"/>
      <c r="I17" s="4"/>
      <c r="J17" s="139">
        <f>+I16</f>
        <v>65833.333333333328</v>
      </c>
      <c r="K17" s="5"/>
      <c r="L17" s="36">
        <f t="shared" si="0"/>
        <v>65833.333333333328</v>
      </c>
      <c r="M17" s="28">
        <f t="shared" si="3"/>
        <v>0</v>
      </c>
      <c r="N17" s="35">
        <f t="shared" si="1"/>
        <v>65833.333333333328</v>
      </c>
      <c r="O17" s="26">
        <f t="shared" si="2"/>
        <v>65833.333333333328</v>
      </c>
      <c r="P17" s="150"/>
      <c r="Q17" s="149">
        <v>395000</v>
      </c>
      <c r="R17" s="147" t="s">
        <v>126</v>
      </c>
    </row>
    <row r="18" spans="1:18" x14ac:dyDescent="0.25">
      <c r="A18">
        <v>2020</v>
      </c>
      <c r="B18" s="4"/>
      <c r="C18" s="4"/>
      <c r="D18" s="4"/>
      <c r="E18" s="4"/>
      <c r="F18" s="4"/>
      <c r="G18" s="4"/>
      <c r="H18" s="4"/>
      <c r="I18" s="4"/>
      <c r="J18" s="4"/>
      <c r="K18" s="139">
        <f>+J17</f>
        <v>65833.333333333328</v>
      </c>
      <c r="L18" s="36">
        <f t="shared" si="0"/>
        <v>65833.333333333328</v>
      </c>
      <c r="M18" s="28">
        <f t="shared" si="3"/>
        <v>0</v>
      </c>
      <c r="N18" s="35">
        <f t="shared" si="1"/>
        <v>65833.333333333328</v>
      </c>
      <c r="O18" s="156">
        <f>N18/2</f>
        <v>32916.666666666664</v>
      </c>
    </row>
    <row r="19" spans="1:18" x14ac:dyDescent="0.25">
      <c r="D19" t="s">
        <v>130</v>
      </c>
      <c r="E19" s="154">
        <f>8/12</f>
        <v>0.66666666666666663</v>
      </c>
      <c r="F19" t="s">
        <v>131</v>
      </c>
      <c r="G19" t="s">
        <v>132</v>
      </c>
      <c r="H19" t="s">
        <v>133</v>
      </c>
      <c r="I19" t="s">
        <v>129</v>
      </c>
      <c r="L19" s="138">
        <f>SUM(L13:L18)</f>
        <v>394999.99999999994</v>
      </c>
      <c r="M19" s="3"/>
    </row>
    <row r="20" spans="1:18" x14ac:dyDescent="0.25">
      <c r="E20" s="156">
        <f>E19*E12</f>
        <v>28266.666666666664</v>
      </c>
      <c r="F20" s="156">
        <f>E20/2</f>
        <v>14133.333333333332</v>
      </c>
      <c r="G20" s="156">
        <f>E12-E20</f>
        <v>14133.333333333336</v>
      </c>
      <c r="H20" s="156">
        <f>F20+G20</f>
        <v>28266.666666666668</v>
      </c>
      <c r="I20" s="156">
        <f>E12-H20</f>
        <v>14133.333333333332</v>
      </c>
      <c r="K20" s="156"/>
      <c r="L20" s="36">
        <f>L19+E12*8/12-K18/2</f>
        <v>390349.99999999994</v>
      </c>
      <c r="M20" s="28"/>
    </row>
    <row r="21" spans="1:18" x14ac:dyDescent="0.25">
      <c r="A21" s="7" t="s">
        <v>8</v>
      </c>
      <c r="B21" s="7"/>
      <c r="C21" s="7"/>
      <c r="D21" s="7"/>
      <c r="E21" s="7"/>
      <c r="F21" s="148">
        <v>0.15</v>
      </c>
      <c r="G21" s="148">
        <v>0.15</v>
      </c>
      <c r="H21" s="148">
        <v>0.15</v>
      </c>
      <c r="I21" s="148">
        <v>0.15</v>
      </c>
      <c r="J21" s="148">
        <v>0.15</v>
      </c>
      <c r="K21" s="148">
        <v>0.15</v>
      </c>
      <c r="N21" s="3" t="s">
        <v>13</v>
      </c>
      <c r="O21" s="3"/>
    </row>
    <row r="22" spans="1:18" x14ac:dyDescent="0.25">
      <c r="F22">
        <v>2015</v>
      </c>
      <c r="G22">
        <v>2016</v>
      </c>
      <c r="H22">
        <v>2017</v>
      </c>
      <c r="I22">
        <v>2018</v>
      </c>
      <c r="J22">
        <v>2019</v>
      </c>
      <c r="K22">
        <v>2020</v>
      </c>
      <c r="L22" t="s">
        <v>6</v>
      </c>
      <c r="N22" t="s">
        <v>8</v>
      </c>
      <c r="O22" t="s">
        <v>6</v>
      </c>
    </row>
    <row r="23" spans="1:18" x14ac:dyDescent="0.25">
      <c r="A23">
        <v>2015</v>
      </c>
      <c r="F23" s="1">
        <f>F13*F21</f>
        <v>5925</v>
      </c>
      <c r="G23" s="1"/>
      <c r="H23" s="1"/>
      <c r="I23" s="1"/>
      <c r="J23" s="1"/>
      <c r="K23" s="1"/>
      <c r="L23" s="3">
        <f>SUM(F23:K23)</f>
        <v>5925</v>
      </c>
      <c r="M23">
        <v>2011</v>
      </c>
      <c r="N23" s="1">
        <v>9999841</v>
      </c>
      <c r="O23" s="1">
        <v>35847339</v>
      </c>
      <c r="P23" s="6">
        <f>N23/O23</f>
        <v>0.27895629854143428</v>
      </c>
    </row>
    <row r="24" spans="1:18" x14ac:dyDescent="0.25">
      <c r="A24">
        <v>2016</v>
      </c>
      <c r="F24" s="4"/>
      <c r="G24" s="1">
        <f>G14*G21</f>
        <v>11850</v>
      </c>
      <c r="H24" s="1"/>
      <c r="I24" s="1"/>
      <c r="J24" s="1"/>
      <c r="K24" s="1"/>
      <c r="L24" s="3">
        <f t="shared" ref="L24:L28" si="4">SUM(F24:K24)</f>
        <v>11850</v>
      </c>
      <c r="M24">
        <v>2012</v>
      </c>
      <c r="N24" s="1">
        <v>5553079</v>
      </c>
      <c r="O24" s="1">
        <v>35093510</v>
      </c>
      <c r="P24" s="6">
        <f>N24/O24</f>
        <v>0.15823663691662646</v>
      </c>
    </row>
    <row r="25" spans="1:18" x14ac:dyDescent="0.25">
      <c r="A25">
        <v>2017</v>
      </c>
      <c r="F25" s="4"/>
      <c r="G25" s="4"/>
      <c r="H25" s="1">
        <f>H15*H21</f>
        <v>11850</v>
      </c>
      <c r="I25" s="1"/>
      <c r="J25" s="1"/>
      <c r="K25" s="1"/>
      <c r="L25" s="3">
        <f t="shared" si="4"/>
        <v>11850</v>
      </c>
      <c r="M25" s="153">
        <v>2013</v>
      </c>
      <c r="N25" s="152">
        <v>4773328</v>
      </c>
      <c r="O25" s="152">
        <v>42598285</v>
      </c>
      <c r="P25" s="154">
        <f>N25/O25</f>
        <v>0.11205446416446108</v>
      </c>
    </row>
    <row r="26" spans="1:18" x14ac:dyDescent="0.25">
      <c r="A26">
        <v>2018</v>
      </c>
      <c r="F26" s="4"/>
      <c r="G26" s="4"/>
      <c r="H26" s="4"/>
      <c r="I26" s="1">
        <f>I16*I21</f>
        <v>9874.9999999999982</v>
      </c>
      <c r="J26" s="1"/>
      <c r="K26" s="1"/>
      <c r="L26" s="3">
        <f t="shared" si="4"/>
        <v>9874.9999999999982</v>
      </c>
    </row>
    <row r="27" spans="1:18" x14ac:dyDescent="0.25">
      <c r="A27">
        <v>2019</v>
      </c>
      <c r="F27" s="4"/>
      <c r="G27" s="4"/>
      <c r="H27" s="4"/>
      <c r="I27" s="4"/>
      <c r="J27" s="1">
        <f>J17*J21</f>
        <v>9874.9999999999982</v>
      </c>
      <c r="K27" s="1"/>
      <c r="L27" s="3">
        <f t="shared" si="4"/>
        <v>9874.9999999999982</v>
      </c>
    </row>
    <row r="28" spans="1:18" x14ac:dyDescent="0.25">
      <c r="A28">
        <v>2020</v>
      </c>
      <c r="F28" s="4"/>
      <c r="G28" s="4"/>
      <c r="H28" s="4"/>
      <c r="I28" s="4"/>
      <c r="J28" s="4"/>
      <c r="K28" s="1">
        <f>K18*K21</f>
        <v>9874.9999999999982</v>
      </c>
      <c r="L28" s="3">
        <f t="shared" si="4"/>
        <v>9874.9999999999982</v>
      </c>
    </row>
    <row r="29" spans="1:18" x14ac:dyDescent="0.25">
      <c r="L29" s="3">
        <f>SUM(L23:L28)</f>
        <v>59250</v>
      </c>
    </row>
    <row r="31" spans="1:18" x14ac:dyDescent="0.25">
      <c r="A31" s="7" t="s">
        <v>11</v>
      </c>
      <c r="B31" s="7"/>
      <c r="C31" s="7"/>
      <c r="D31" s="7"/>
      <c r="E31" s="7"/>
      <c r="F31" s="133">
        <v>0.1</v>
      </c>
      <c r="G31" s="133">
        <f>F31</f>
        <v>0.1</v>
      </c>
      <c r="H31" s="133">
        <f t="shared" ref="H31:K31" si="5">G31</f>
        <v>0.1</v>
      </c>
      <c r="I31" s="133">
        <f t="shared" si="5"/>
        <v>0.1</v>
      </c>
      <c r="J31" s="133">
        <f t="shared" si="5"/>
        <v>0.1</v>
      </c>
      <c r="K31" s="133">
        <f t="shared" si="5"/>
        <v>0.1</v>
      </c>
    </row>
    <row r="32" spans="1:18" x14ac:dyDescent="0.25">
      <c r="F32">
        <v>2015</v>
      </c>
      <c r="G32">
        <v>2016</v>
      </c>
      <c r="H32">
        <v>2017</v>
      </c>
      <c r="I32">
        <v>2018</v>
      </c>
      <c r="J32">
        <v>2019</v>
      </c>
      <c r="K32">
        <v>2020</v>
      </c>
      <c r="L32" t="s">
        <v>6</v>
      </c>
      <c r="N32" t="s">
        <v>10</v>
      </c>
      <c r="O32" t="s">
        <v>6</v>
      </c>
    </row>
    <row r="33" spans="1:16" x14ac:dyDescent="0.25">
      <c r="A33">
        <v>2015</v>
      </c>
      <c r="F33" s="1">
        <f>F13*F31</f>
        <v>3950</v>
      </c>
      <c r="G33" s="1"/>
      <c r="H33" s="1"/>
      <c r="I33" s="1"/>
      <c r="J33" s="1"/>
      <c r="K33" s="1"/>
      <c r="L33" s="3">
        <f>SUM(F33:K33)</f>
        <v>3950</v>
      </c>
      <c r="M33">
        <v>2011</v>
      </c>
      <c r="N33" s="1">
        <v>3870853</v>
      </c>
      <c r="O33" s="1">
        <v>35847339</v>
      </c>
      <c r="P33" s="6">
        <f>N33/O33</f>
        <v>0.10798159941523135</v>
      </c>
    </row>
    <row r="34" spans="1:16" x14ac:dyDescent="0.25">
      <c r="A34">
        <v>2016</v>
      </c>
      <c r="F34" s="4"/>
      <c r="G34" s="1">
        <f>G31*G14</f>
        <v>7900</v>
      </c>
      <c r="H34" s="1"/>
      <c r="I34" s="1"/>
      <c r="J34" s="1"/>
      <c r="K34" s="1"/>
      <c r="L34" s="3">
        <f t="shared" ref="L34:L38" si="6">SUM(F34:K34)</f>
        <v>7900</v>
      </c>
      <c r="M34">
        <v>2012</v>
      </c>
      <c r="N34" s="1">
        <v>3365166</v>
      </c>
      <c r="O34" s="1">
        <v>35093510</v>
      </c>
      <c r="P34" s="6">
        <f>N34/O34</f>
        <v>9.5891405561883095E-2</v>
      </c>
    </row>
    <row r="35" spans="1:16" x14ac:dyDescent="0.25">
      <c r="A35">
        <v>2017</v>
      </c>
      <c r="F35" s="4"/>
      <c r="G35" s="4"/>
      <c r="H35" s="1">
        <f>H31*H15</f>
        <v>7900</v>
      </c>
      <c r="I35" s="1"/>
      <c r="J35" s="1"/>
      <c r="K35" s="1"/>
      <c r="L35" s="3">
        <f t="shared" si="6"/>
        <v>7900</v>
      </c>
      <c r="M35" s="153">
        <v>2013</v>
      </c>
      <c r="N35" s="152">
        <v>3655868</v>
      </c>
      <c r="O35" s="152">
        <v>42598285</v>
      </c>
      <c r="P35" s="154">
        <f>N35/O35</f>
        <v>8.5821952691287923E-2</v>
      </c>
    </row>
    <row r="36" spans="1:16" x14ac:dyDescent="0.25">
      <c r="A36">
        <v>2018</v>
      </c>
      <c r="F36" s="4"/>
      <c r="G36" s="4"/>
      <c r="H36" s="4"/>
      <c r="I36" s="1">
        <f>I31*I16</f>
        <v>6583.333333333333</v>
      </c>
      <c r="J36" s="1"/>
      <c r="K36" s="1"/>
      <c r="L36" s="3">
        <f t="shared" si="6"/>
        <v>6583.333333333333</v>
      </c>
    </row>
    <row r="37" spans="1:16" x14ac:dyDescent="0.25">
      <c r="A37">
        <v>2019</v>
      </c>
      <c r="F37" s="4"/>
      <c r="G37" s="4"/>
      <c r="H37" s="4"/>
      <c r="I37" s="4"/>
      <c r="J37" s="1">
        <f>J31*J17</f>
        <v>6583.333333333333</v>
      </c>
      <c r="K37" s="1"/>
      <c r="L37" s="3">
        <f t="shared" si="6"/>
        <v>6583.333333333333</v>
      </c>
    </row>
    <row r="38" spans="1:16" x14ac:dyDescent="0.25">
      <c r="A38">
        <v>2020</v>
      </c>
      <c r="F38" s="4"/>
      <c r="G38" s="4"/>
      <c r="H38" s="4"/>
      <c r="I38" s="4"/>
      <c r="J38" s="4"/>
      <c r="K38" s="1">
        <f>K31*K18</f>
        <v>6583.333333333333</v>
      </c>
      <c r="L38" s="3">
        <f t="shared" si="6"/>
        <v>6583.333333333333</v>
      </c>
    </row>
    <row r="39" spans="1:16" x14ac:dyDescent="0.25">
      <c r="L39" s="3">
        <f>SUM(L33:L38)</f>
        <v>39500</v>
      </c>
    </row>
    <row r="41" spans="1:16" x14ac:dyDescent="0.25">
      <c r="A41" s="7" t="s">
        <v>9</v>
      </c>
      <c r="B41" s="7"/>
      <c r="C41" s="7"/>
      <c r="D41" s="7"/>
      <c r="E41" s="7"/>
      <c r="F41" s="133">
        <f>F43/F13</f>
        <v>0.75</v>
      </c>
      <c r="G41" s="133">
        <f>G44/G14</f>
        <v>0.75</v>
      </c>
      <c r="H41" s="133">
        <f>H45/H15</f>
        <v>0.75</v>
      </c>
      <c r="I41" s="133">
        <f>I46/I16</f>
        <v>0.75</v>
      </c>
      <c r="J41" s="133">
        <f>J47/J17</f>
        <v>0.75</v>
      </c>
      <c r="K41" s="133">
        <f>K48/K18</f>
        <v>0.75</v>
      </c>
    </row>
    <row r="42" spans="1:16" x14ac:dyDescent="0.25">
      <c r="F42">
        <v>2015</v>
      </c>
      <c r="G42">
        <v>2016</v>
      </c>
      <c r="H42">
        <v>2017</v>
      </c>
      <c r="I42">
        <v>2018</v>
      </c>
      <c r="J42">
        <v>2019</v>
      </c>
      <c r="K42">
        <v>2020</v>
      </c>
      <c r="L42" t="s">
        <v>6</v>
      </c>
    </row>
    <row r="43" spans="1:16" x14ac:dyDescent="0.25">
      <c r="A43">
        <v>2015</v>
      </c>
      <c r="F43" s="1">
        <f>F13-F23-F33</f>
        <v>29625</v>
      </c>
      <c r="G43" s="1">
        <f t="shared" ref="G43:K43" si="7">G33*0.22</f>
        <v>0</v>
      </c>
      <c r="H43" s="1">
        <f t="shared" si="7"/>
        <v>0</v>
      </c>
      <c r="I43" s="1">
        <f t="shared" si="7"/>
        <v>0</v>
      </c>
      <c r="J43" s="1">
        <f t="shared" si="7"/>
        <v>0</v>
      </c>
      <c r="K43" s="1">
        <f t="shared" si="7"/>
        <v>0</v>
      </c>
      <c r="L43" s="3">
        <f>SUM(F43:K43)</f>
        <v>29625</v>
      </c>
    </row>
    <row r="44" spans="1:16" x14ac:dyDescent="0.25">
      <c r="A44">
        <v>2016</v>
      </c>
      <c r="F44" s="4"/>
      <c r="G44" s="1">
        <f>G14-G24-G34</f>
        <v>59250</v>
      </c>
      <c r="H44" s="1">
        <f t="shared" ref="H44:K44" si="8">H34*0.22</f>
        <v>0</v>
      </c>
      <c r="I44" s="1">
        <f t="shared" si="8"/>
        <v>0</v>
      </c>
      <c r="J44" s="1">
        <f t="shared" si="8"/>
        <v>0</v>
      </c>
      <c r="K44" s="1">
        <f t="shared" si="8"/>
        <v>0</v>
      </c>
      <c r="L44" s="3">
        <f t="shared" ref="L44:L48" si="9">SUM(F44:K44)</f>
        <v>59250</v>
      </c>
    </row>
    <row r="45" spans="1:16" x14ac:dyDescent="0.25">
      <c r="A45">
        <v>2017</v>
      </c>
      <c r="F45" s="4"/>
      <c r="G45" s="4"/>
      <c r="H45" s="1">
        <f>H15-H25-H35</f>
        <v>59250</v>
      </c>
      <c r="I45" s="1">
        <f t="shared" ref="I45:K45" si="10">I35*0.22</f>
        <v>0</v>
      </c>
      <c r="J45" s="1">
        <f t="shared" si="10"/>
        <v>0</v>
      </c>
      <c r="K45" s="1">
        <f t="shared" si="10"/>
        <v>0</v>
      </c>
      <c r="L45" s="3">
        <f t="shared" si="9"/>
        <v>59250</v>
      </c>
    </row>
    <row r="46" spans="1:16" x14ac:dyDescent="0.25">
      <c r="A46">
        <v>2018</v>
      </c>
      <c r="F46" s="4"/>
      <c r="G46" s="4"/>
      <c r="H46" s="4"/>
      <c r="I46" s="1">
        <f>I16-I26-I36</f>
        <v>49374.999999999993</v>
      </c>
      <c r="J46" s="1">
        <f t="shared" ref="J46:K46" si="11">J36*0.22</f>
        <v>0</v>
      </c>
      <c r="K46" s="1">
        <f t="shared" si="11"/>
        <v>0</v>
      </c>
      <c r="L46" s="3">
        <f t="shared" si="9"/>
        <v>49374.999999999993</v>
      </c>
    </row>
    <row r="47" spans="1:16" x14ac:dyDescent="0.25">
      <c r="A47">
        <v>2019</v>
      </c>
      <c r="F47" s="4"/>
      <c r="G47" s="4"/>
      <c r="H47" s="4"/>
      <c r="I47" s="4"/>
      <c r="J47" s="1">
        <f>J17-J27-J37</f>
        <v>49374.999999999993</v>
      </c>
      <c r="K47" s="1">
        <f t="shared" ref="K47" si="12">K37*0.22</f>
        <v>0</v>
      </c>
      <c r="L47" s="3">
        <f t="shared" si="9"/>
        <v>49374.999999999993</v>
      </c>
    </row>
    <row r="48" spans="1:16" x14ac:dyDescent="0.25">
      <c r="A48">
        <v>2020</v>
      </c>
      <c r="F48" s="4"/>
      <c r="G48" s="4"/>
      <c r="H48" s="4"/>
      <c r="I48" s="4"/>
      <c r="J48" s="4"/>
      <c r="K48" s="1">
        <f>K18-K28-K38</f>
        <v>49374.999999999993</v>
      </c>
      <c r="L48" s="3">
        <f t="shared" si="9"/>
        <v>49374.999999999993</v>
      </c>
    </row>
    <row r="49" spans="1:12" x14ac:dyDescent="0.25">
      <c r="L49" s="3">
        <f>SUM(L43:L48)</f>
        <v>296250</v>
      </c>
    </row>
    <row r="51" spans="1:12" x14ac:dyDescent="0.25">
      <c r="L51" s="22">
        <f>L49+L39+L29</f>
        <v>395000</v>
      </c>
    </row>
    <row r="54" spans="1:12" x14ac:dyDescent="0.25">
      <c r="F54" t="s">
        <v>32</v>
      </c>
      <c r="G54" t="s">
        <v>33</v>
      </c>
      <c r="H54" t="s">
        <v>34</v>
      </c>
    </row>
    <row r="55" spans="1:12" x14ac:dyDescent="0.25">
      <c r="A55">
        <v>2011</v>
      </c>
      <c r="F55" s="2">
        <f>P23</f>
        <v>0.27895629854143428</v>
      </c>
      <c r="G55" s="2">
        <f>G59</f>
        <v>0.1</v>
      </c>
      <c r="H55" s="2">
        <f>1-F55-G55</f>
        <v>0.6210437014585658</v>
      </c>
    </row>
    <row r="56" spans="1:12" x14ac:dyDescent="0.25">
      <c r="A56">
        <f>A55+1</f>
        <v>2012</v>
      </c>
      <c r="F56" s="28">
        <f>(F59/F55)^(1/4)*F55</f>
        <v>0.23887733408027978</v>
      </c>
      <c r="G56" s="39">
        <f t="shared" ref="G56:G58" si="13">G60</f>
        <v>0.1</v>
      </c>
      <c r="H56" s="39">
        <f t="shared" ref="H56:H58" si="14">1-F56-G56</f>
        <v>0.66112266591972024</v>
      </c>
    </row>
    <row r="57" spans="1:12" x14ac:dyDescent="0.25">
      <c r="A57">
        <f t="shared" ref="A57:A64" si="15">A56+1</f>
        <v>2013</v>
      </c>
      <c r="F57" s="28">
        <f t="shared" ref="F57:F58" si="16">(F60/F56)^(1/4)*F56</f>
        <v>0.21264443546067882</v>
      </c>
      <c r="G57" s="39">
        <f t="shared" si="13"/>
        <v>0.1</v>
      </c>
      <c r="H57" s="39">
        <f t="shared" si="14"/>
        <v>0.68735556453932123</v>
      </c>
    </row>
    <row r="58" spans="1:12" x14ac:dyDescent="0.25">
      <c r="A58">
        <f t="shared" si="15"/>
        <v>2014</v>
      </c>
      <c r="F58" s="28">
        <f t="shared" si="16"/>
        <v>0.19487823231455509</v>
      </c>
      <c r="G58" s="39">
        <f t="shared" si="13"/>
        <v>0.1</v>
      </c>
      <c r="H58" s="39">
        <f t="shared" si="14"/>
        <v>0.70512176768544499</v>
      </c>
    </row>
    <row r="59" spans="1:12" x14ac:dyDescent="0.25">
      <c r="A59">
        <f t="shared" si="15"/>
        <v>2015</v>
      </c>
      <c r="F59" s="2">
        <f>F21</f>
        <v>0.15</v>
      </c>
      <c r="G59" s="2">
        <f>F31</f>
        <v>0.1</v>
      </c>
      <c r="H59" s="2">
        <f>F41</f>
        <v>0.75</v>
      </c>
    </row>
    <row r="60" spans="1:12" x14ac:dyDescent="0.25">
      <c r="A60">
        <f t="shared" si="15"/>
        <v>2016</v>
      </c>
      <c r="F60" s="2">
        <f>G21</f>
        <v>0.15</v>
      </c>
      <c r="G60" s="2">
        <f>G31</f>
        <v>0.1</v>
      </c>
      <c r="H60" s="2">
        <f>G41</f>
        <v>0.75</v>
      </c>
    </row>
    <row r="61" spans="1:12" x14ac:dyDescent="0.25">
      <c r="A61">
        <f t="shared" si="15"/>
        <v>2017</v>
      </c>
      <c r="F61" s="2">
        <f>H21</f>
        <v>0.15</v>
      </c>
      <c r="G61" s="2">
        <f>H31</f>
        <v>0.1</v>
      </c>
      <c r="H61" s="2">
        <f>H41</f>
        <v>0.75</v>
      </c>
    </row>
    <row r="62" spans="1:12" x14ac:dyDescent="0.25">
      <c r="A62">
        <f t="shared" si="15"/>
        <v>2018</v>
      </c>
      <c r="F62" s="2">
        <f>I21</f>
        <v>0.15</v>
      </c>
      <c r="G62" s="2">
        <f>I31</f>
        <v>0.1</v>
      </c>
      <c r="H62" s="2">
        <f>I41</f>
        <v>0.75</v>
      </c>
    </row>
    <row r="63" spans="1:12" x14ac:dyDescent="0.25">
      <c r="A63">
        <f>A62+1</f>
        <v>2019</v>
      </c>
      <c r="F63" s="2">
        <f>J21</f>
        <v>0.15</v>
      </c>
      <c r="G63" s="2">
        <f>J31</f>
        <v>0.1</v>
      </c>
      <c r="H63" s="2">
        <f>J41</f>
        <v>0.75</v>
      </c>
    </row>
    <row r="64" spans="1:12" x14ac:dyDescent="0.25">
      <c r="A64">
        <f t="shared" si="15"/>
        <v>2020</v>
      </c>
      <c r="F64" s="2">
        <f>K21</f>
        <v>0.15</v>
      </c>
      <c r="G64" s="2">
        <f>K31</f>
        <v>0.1</v>
      </c>
      <c r="H64" s="2">
        <f>K41</f>
        <v>0.75</v>
      </c>
    </row>
  </sheetData>
  <pageMargins left="0.7" right="0.7" top="0.75" bottom="0.75" header="0.3" footer="0.3"/>
  <pageSetup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5" x14ac:dyDescent="0.25"/>
  <cols>
    <col min="2" max="2" width="11.7109375" bestFit="1" customWidth="1"/>
    <col min="3" max="3" width="11.42578125" bestFit="1" customWidth="1"/>
    <col min="4" max="4" width="15.5703125" bestFit="1" customWidth="1"/>
    <col min="5" max="5" width="14.140625" bestFit="1" customWidth="1"/>
    <col min="6" max="7" width="13.5703125" bestFit="1" customWidth="1"/>
    <col min="8" max="8" width="12" bestFit="1" customWidth="1"/>
    <col min="9" max="9" width="13.140625" bestFit="1" customWidth="1"/>
    <col min="10" max="10" width="10.28515625" bestFit="1" customWidth="1"/>
    <col min="11" max="11" width="9.85546875" bestFit="1" customWidth="1"/>
    <col min="12" max="12" width="11.7109375" bestFit="1" customWidth="1"/>
    <col min="13" max="13" width="16.85546875" bestFit="1" customWidth="1"/>
  </cols>
  <sheetData>
    <row r="1" spans="1:13" s="7" customFormat="1" x14ac:dyDescent="0.25">
      <c r="A1" s="7" t="s">
        <v>27</v>
      </c>
      <c r="B1" s="7" t="s">
        <v>36</v>
      </c>
      <c r="C1" s="7" t="s">
        <v>37</v>
      </c>
      <c r="D1" s="46" t="s">
        <v>38</v>
      </c>
      <c r="E1" s="46" t="s">
        <v>39</v>
      </c>
      <c r="F1" s="46" t="s">
        <v>40</v>
      </c>
      <c r="G1" s="7" t="s">
        <v>41</v>
      </c>
      <c r="H1" s="7" t="s">
        <v>42</v>
      </c>
      <c r="I1" s="7" t="s">
        <v>43</v>
      </c>
      <c r="J1" s="7" t="s">
        <v>44</v>
      </c>
      <c r="K1" s="7" t="s">
        <v>45</v>
      </c>
      <c r="L1" s="7" t="s">
        <v>35</v>
      </c>
      <c r="M1" s="47" t="s">
        <v>51</v>
      </c>
    </row>
    <row r="2" spans="1:13" x14ac:dyDescent="0.25">
      <c r="A2">
        <v>2009</v>
      </c>
      <c r="B2" s="41">
        <v>2167668.16</v>
      </c>
      <c r="C2" s="41">
        <v>699050.01</v>
      </c>
      <c r="D2" s="43">
        <v>1585666.03</v>
      </c>
      <c r="E2" s="43">
        <v>1089575.1200000001</v>
      </c>
      <c r="F2" s="43">
        <v>367359.92</v>
      </c>
      <c r="G2" s="41">
        <v>865431.96</v>
      </c>
      <c r="H2" s="41">
        <v>630669.13</v>
      </c>
      <c r="I2" s="41">
        <v>40133.29</v>
      </c>
      <c r="J2" s="41">
        <v>19899.5</v>
      </c>
      <c r="K2" s="41">
        <v>2997.81</v>
      </c>
      <c r="L2" s="41">
        <v>7468450.9299999997</v>
      </c>
      <c r="M2" s="43">
        <f>SUM(D2:F2)</f>
        <v>3042601.0700000003</v>
      </c>
    </row>
    <row r="3" spans="1:13" x14ac:dyDescent="0.25">
      <c r="A3">
        <v>2010</v>
      </c>
      <c r="B3" s="41">
        <v>2179740.86</v>
      </c>
      <c r="C3" s="41">
        <v>691338.77</v>
      </c>
      <c r="D3" s="43">
        <v>1549330.63</v>
      </c>
      <c r="E3" s="43">
        <v>1143768.81</v>
      </c>
      <c r="F3" s="43">
        <v>357957.83</v>
      </c>
      <c r="G3" s="41">
        <v>849440.3</v>
      </c>
      <c r="H3" s="41">
        <v>677841.26</v>
      </c>
      <c r="I3" s="41">
        <v>44984.82</v>
      </c>
      <c r="J3" s="41">
        <v>17327.2</v>
      </c>
      <c r="K3" s="41">
        <v>3079.13</v>
      </c>
      <c r="L3" s="41">
        <v>7514809.5999999996</v>
      </c>
      <c r="M3" s="43">
        <f t="shared" ref="M3:M13" si="0">SUM(D3:F3)</f>
        <v>3051057.27</v>
      </c>
    </row>
    <row r="4" spans="1:13" x14ac:dyDescent="0.25">
      <c r="A4">
        <v>2011</v>
      </c>
      <c r="B4" s="41">
        <v>2248012.5699999998</v>
      </c>
      <c r="C4" s="41">
        <v>714044.34</v>
      </c>
      <c r="D4" s="43">
        <v>1529396.65</v>
      </c>
      <c r="E4" s="43">
        <v>1162669.96</v>
      </c>
      <c r="F4" s="43">
        <v>359016.86</v>
      </c>
      <c r="G4" s="41">
        <v>890601.22</v>
      </c>
      <c r="H4" s="41">
        <v>643954.37</v>
      </c>
      <c r="I4" s="41">
        <v>44929.5</v>
      </c>
      <c r="J4" s="41">
        <v>18063.37</v>
      </c>
      <c r="K4" s="41">
        <v>3082.75</v>
      </c>
      <c r="L4" s="41">
        <v>7613771.5899999999</v>
      </c>
      <c r="M4" s="43">
        <f t="shared" si="0"/>
        <v>3051083.4699999997</v>
      </c>
    </row>
    <row r="5" spans="1:13" x14ac:dyDescent="0.25">
      <c r="A5">
        <v>2012</v>
      </c>
      <c r="B5" s="41">
        <v>2274420.0699999998</v>
      </c>
      <c r="C5" s="41">
        <v>692390.24</v>
      </c>
      <c r="D5" s="43">
        <v>1494525.58</v>
      </c>
      <c r="E5" s="43">
        <v>1177987.3899999999</v>
      </c>
      <c r="F5" s="43">
        <v>360216.44</v>
      </c>
      <c r="G5" s="41">
        <v>890978.44</v>
      </c>
      <c r="H5" s="41">
        <v>637766.31999999995</v>
      </c>
      <c r="I5" s="41">
        <v>46190.12</v>
      </c>
      <c r="J5" s="41">
        <v>17613.14</v>
      </c>
      <c r="K5" s="41">
        <v>3295.91</v>
      </c>
      <c r="L5" s="41">
        <v>7595383.6500000004</v>
      </c>
      <c r="M5" s="43">
        <f t="shared" si="0"/>
        <v>3032729.4099999997</v>
      </c>
    </row>
    <row r="6" spans="1:13" x14ac:dyDescent="0.25">
      <c r="A6">
        <v>2013</v>
      </c>
      <c r="B6" s="41">
        <v>2221822.41</v>
      </c>
      <c r="C6" s="41">
        <v>723120.27</v>
      </c>
      <c r="D6" s="43">
        <v>1424233.04</v>
      </c>
      <c r="E6" s="43">
        <v>1174594.75</v>
      </c>
      <c r="F6" s="43">
        <v>355780.83</v>
      </c>
      <c r="G6" s="41">
        <v>887481.98</v>
      </c>
      <c r="H6" s="41">
        <v>608447.38</v>
      </c>
      <c r="I6" s="41">
        <v>46210.15</v>
      </c>
      <c r="J6" s="41">
        <v>17072.34</v>
      </c>
      <c r="K6" s="41">
        <v>3406.61</v>
      </c>
      <c r="L6" s="41">
        <v>7462169.7599999998</v>
      </c>
      <c r="M6" s="43">
        <f t="shared" si="0"/>
        <v>2954608.62</v>
      </c>
    </row>
    <row r="7" spans="1:13" x14ac:dyDescent="0.25">
      <c r="A7">
        <v>2014</v>
      </c>
      <c r="B7" s="41">
        <v>2231522.04</v>
      </c>
      <c r="C7" s="41">
        <v>723321.5</v>
      </c>
      <c r="D7" s="43">
        <v>1418383.88</v>
      </c>
      <c r="E7" s="43">
        <v>1198868.93</v>
      </c>
      <c r="F7" s="43">
        <v>359374.14</v>
      </c>
      <c r="G7" s="41">
        <v>887420.21</v>
      </c>
      <c r="H7" s="41">
        <v>618619.56999999995</v>
      </c>
      <c r="I7" s="41">
        <v>45173.37</v>
      </c>
      <c r="J7" s="41">
        <v>15931.88</v>
      </c>
      <c r="K7" s="41">
        <v>3406.61</v>
      </c>
      <c r="L7" s="41">
        <v>7502022.1299999999</v>
      </c>
      <c r="M7" s="43">
        <f t="shared" si="0"/>
        <v>2976626.9499999997</v>
      </c>
    </row>
    <row r="8" spans="1:13" x14ac:dyDescent="0.25">
      <c r="A8">
        <v>2015</v>
      </c>
      <c r="B8" s="41">
        <v>2184361.52</v>
      </c>
      <c r="C8" s="41">
        <v>711791.58</v>
      </c>
      <c r="D8" s="43">
        <v>1397711.34</v>
      </c>
      <c r="E8" s="43">
        <v>1219269.93</v>
      </c>
      <c r="F8" s="43">
        <v>361499.94</v>
      </c>
      <c r="G8" s="41">
        <v>901500.56</v>
      </c>
      <c r="H8" s="41">
        <v>617773.59</v>
      </c>
      <c r="I8" s="41">
        <v>47587.95</v>
      </c>
      <c r="J8" s="41">
        <v>15957.47</v>
      </c>
      <c r="K8" s="41">
        <v>3406.61</v>
      </c>
      <c r="L8" s="41">
        <v>7460860.4900000002</v>
      </c>
      <c r="M8" s="43">
        <f t="shared" si="0"/>
        <v>2978481.21</v>
      </c>
    </row>
    <row r="9" spans="1:13" x14ac:dyDescent="0.25">
      <c r="A9">
        <v>2016</v>
      </c>
      <c r="B9" s="41">
        <v>2172080.54</v>
      </c>
      <c r="C9" s="41">
        <v>717915.93</v>
      </c>
      <c r="D9" s="43">
        <v>1406178.39</v>
      </c>
      <c r="E9" s="43">
        <v>1246464.5</v>
      </c>
      <c r="F9" s="43">
        <v>365208.96</v>
      </c>
      <c r="G9" s="41">
        <v>917880.49</v>
      </c>
      <c r="H9" s="41">
        <v>618862.51</v>
      </c>
      <c r="I9" s="41">
        <v>48341.2</v>
      </c>
      <c r="J9" s="41">
        <v>15957.47</v>
      </c>
      <c r="K9" s="41">
        <v>3406.61</v>
      </c>
      <c r="L9" s="41">
        <v>7512296.5899999999</v>
      </c>
      <c r="M9" s="43">
        <f t="shared" si="0"/>
        <v>3017851.8499999996</v>
      </c>
    </row>
    <row r="10" spans="1:13" x14ac:dyDescent="0.25">
      <c r="A10">
        <v>2017</v>
      </c>
      <c r="B10" s="41">
        <v>2159815.44</v>
      </c>
      <c r="C10" s="41">
        <v>720456.47</v>
      </c>
      <c r="D10" s="43">
        <v>1399643.49</v>
      </c>
      <c r="E10" s="43">
        <v>1269621.76</v>
      </c>
      <c r="F10" s="43">
        <v>368016.95</v>
      </c>
      <c r="G10" s="41">
        <v>930215.97</v>
      </c>
      <c r="H10" s="41">
        <v>618158.89</v>
      </c>
      <c r="I10" s="41">
        <v>49257.73</v>
      </c>
      <c r="J10" s="41">
        <v>15957.47</v>
      </c>
      <c r="K10" s="41">
        <v>3406.61</v>
      </c>
      <c r="L10" s="41">
        <v>7534550.7699999996</v>
      </c>
      <c r="M10" s="43">
        <f t="shared" si="0"/>
        <v>3037282.2</v>
      </c>
    </row>
    <row r="11" spans="1:13" x14ac:dyDescent="0.25">
      <c r="A11">
        <v>2018</v>
      </c>
      <c r="B11" s="41">
        <v>2186494.4500000002</v>
      </c>
      <c r="C11" s="41">
        <v>725386.65</v>
      </c>
      <c r="D11" s="43">
        <v>1404036.84</v>
      </c>
      <c r="E11" s="43">
        <v>1295874.18</v>
      </c>
      <c r="F11" s="43">
        <v>371527.53</v>
      </c>
      <c r="G11" s="41">
        <v>945608.73</v>
      </c>
      <c r="H11" s="41">
        <v>618949.99</v>
      </c>
      <c r="I11" s="41">
        <v>50234.62</v>
      </c>
      <c r="J11" s="41">
        <v>15957.47</v>
      </c>
      <c r="K11" s="41">
        <v>3406.61</v>
      </c>
      <c r="L11" s="41">
        <v>7617477.0700000003</v>
      </c>
      <c r="M11" s="43">
        <f t="shared" si="0"/>
        <v>3071438.55</v>
      </c>
    </row>
    <row r="12" spans="1:13" x14ac:dyDescent="0.25">
      <c r="A12">
        <v>2019</v>
      </c>
      <c r="B12" s="41">
        <v>2222007.9900000002</v>
      </c>
      <c r="C12" s="41">
        <v>731655.96</v>
      </c>
      <c r="D12" s="43">
        <v>1414172.63</v>
      </c>
      <c r="E12" s="43">
        <v>1323813.08</v>
      </c>
      <c r="F12" s="43">
        <v>375434.63</v>
      </c>
      <c r="G12" s="41">
        <v>962486.6</v>
      </c>
      <c r="H12" s="41">
        <v>620011.25</v>
      </c>
      <c r="I12" s="41">
        <v>51221.68</v>
      </c>
      <c r="J12" s="41">
        <v>15957.47</v>
      </c>
      <c r="K12" s="41">
        <v>3406.61</v>
      </c>
      <c r="L12" s="41">
        <v>7720167.8899999997</v>
      </c>
      <c r="M12" s="43">
        <f t="shared" si="0"/>
        <v>3113420.34</v>
      </c>
    </row>
    <row r="13" spans="1:13" x14ac:dyDescent="0.25">
      <c r="A13">
        <v>2020</v>
      </c>
      <c r="B13" s="41">
        <v>2238636.02</v>
      </c>
      <c r="C13" s="41">
        <v>739189.04</v>
      </c>
      <c r="D13" s="43">
        <v>1429729.83</v>
      </c>
      <c r="E13" s="43">
        <v>1353167.55</v>
      </c>
      <c r="F13" s="43">
        <v>379673.57</v>
      </c>
      <c r="G13" s="41">
        <v>980770.22</v>
      </c>
      <c r="H13" s="41">
        <v>622747.14</v>
      </c>
      <c r="I13" s="41">
        <v>52214.23</v>
      </c>
      <c r="J13" s="41">
        <v>15957.47</v>
      </c>
      <c r="K13" s="41">
        <v>3406.61</v>
      </c>
      <c r="L13" s="41">
        <v>7815491.7000000002</v>
      </c>
      <c r="M13" s="43">
        <f t="shared" si="0"/>
        <v>3162570.9499999997</v>
      </c>
    </row>
    <row r="14" spans="1:13" x14ac:dyDescent="0.25">
      <c r="M14" s="41"/>
    </row>
    <row r="15" spans="1:13" ht="14.45" x14ac:dyDescent="0.3">
      <c r="B15" s="13"/>
      <c r="C15">
        <v>2011</v>
      </c>
      <c r="D15" s="29">
        <f>D4/$M4</f>
        <v>0.50126345773162351</v>
      </c>
      <c r="E15" s="29">
        <f t="shared" ref="D15:F17" si="1">E4/$M4</f>
        <v>0.3810678965134966</v>
      </c>
      <c r="F15" s="29">
        <f t="shared" si="1"/>
        <v>0.11766864575487999</v>
      </c>
      <c r="G15" s="13"/>
      <c r="H15" s="13"/>
      <c r="I15" s="13"/>
      <c r="J15" s="13"/>
      <c r="K15" s="13"/>
      <c r="L15" s="13"/>
    </row>
    <row r="16" spans="1:13" ht="14.45" x14ac:dyDescent="0.3">
      <c r="B16" s="13"/>
      <c r="C16">
        <v>2012</v>
      </c>
      <c r="D16" s="29">
        <f t="shared" si="1"/>
        <v>0.49279885474517171</v>
      </c>
      <c r="E16" s="29">
        <f t="shared" si="1"/>
        <v>0.38842482488406377</v>
      </c>
      <c r="F16" s="29">
        <f t="shared" si="1"/>
        <v>0.11877632037076465</v>
      </c>
      <c r="G16" s="13"/>
      <c r="H16" s="13"/>
      <c r="I16" s="13"/>
      <c r="J16" s="13"/>
      <c r="K16" s="13"/>
      <c r="L16" s="13"/>
    </row>
    <row r="17" spans="1:12" ht="14.45" x14ac:dyDescent="0.3">
      <c r="B17" s="13"/>
      <c r="C17">
        <v>2013</v>
      </c>
      <c r="D17" s="29">
        <f t="shared" si="1"/>
        <v>0.48203780032294091</v>
      </c>
      <c r="E17" s="29">
        <f t="shared" si="1"/>
        <v>0.39754664697350001</v>
      </c>
      <c r="F17" s="29">
        <f t="shared" si="1"/>
        <v>0.1204155527035591</v>
      </c>
      <c r="G17" s="13"/>
      <c r="H17" s="13"/>
      <c r="I17" s="13"/>
      <c r="J17" s="13"/>
      <c r="K17" s="13"/>
      <c r="L17" s="13"/>
    </row>
    <row r="18" spans="1:12" ht="14.45" x14ac:dyDescent="0.3">
      <c r="A18" s="7"/>
      <c r="B18" s="42"/>
      <c r="C18">
        <v>2014</v>
      </c>
      <c r="D18" s="29">
        <f t="shared" ref="D18:F18" si="2">D7/$M7</f>
        <v>0.47650710143573755</v>
      </c>
      <c r="E18" s="29">
        <f t="shared" si="2"/>
        <v>0.40276089350061151</v>
      </c>
      <c r="F18" s="29">
        <f t="shared" si="2"/>
        <v>0.120732005063651</v>
      </c>
      <c r="G18" s="42"/>
      <c r="H18" s="42"/>
      <c r="I18" s="42"/>
      <c r="J18" s="42"/>
      <c r="K18" s="42"/>
      <c r="L18" s="42"/>
    </row>
    <row r="19" spans="1:12" x14ac:dyDescent="0.25">
      <c r="C19">
        <v>2015</v>
      </c>
      <c r="D19" s="29">
        <f t="shared" ref="D19:F19" si="3">D8/$M8</f>
        <v>0.46926981956686581</v>
      </c>
      <c r="E19" s="29">
        <f t="shared" si="3"/>
        <v>0.40935961788390801</v>
      </c>
      <c r="F19" s="29">
        <f t="shared" si="3"/>
        <v>0.12137056254922622</v>
      </c>
    </row>
    <row r="20" spans="1:12" x14ac:dyDescent="0.25">
      <c r="C20">
        <v>2016</v>
      </c>
      <c r="D20" s="29">
        <f>D9/$M9</f>
        <v>0.46595341981416355</v>
      </c>
      <c r="E20" s="29">
        <f t="shared" ref="E20:F20" si="4">E9/$M9</f>
        <v>0.41303038119647928</v>
      </c>
      <c r="F20" s="29">
        <f t="shared" si="4"/>
        <v>0.1210161989893573</v>
      </c>
    </row>
    <row r="21" spans="1:12" x14ac:dyDescent="0.25">
      <c r="B21" s="7"/>
      <c r="C21">
        <v>2017</v>
      </c>
      <c r="D21" s="29">
        <f t="shared" ref="D21:F21" si="5">D10/$M10</f>
        <v>0.46082102282099435</v>
      </c>
      <c r="E21" s="29">
        <f t="shared" si="5"/>
        <v>0.41801244546851785</v>
      </c>
      <c r="F21" s="29">
        <f t="shared" si="5"/>
        <v>0.12116653171048775</v>
      </c>
    </row>
    <row r="22" spans="1:12" x14ac:dyDescent="0.25">
      <c r="B22" s="7"/>
      <c r="C22">
        <v>2018</v>
      </c>
      <c r="D22" s="29">
        <f t="shared" ref="D22:F22" si="6">D11/$M11</f>
        <v>0.45712678835785275</v>
      </c>
      <c r="E22" s="29">
        <f t="shared" si="6"/>
        <v>0.42191115300027737</v>
      </c>
      <c r="F22" s="29">
        <f t="shared" si="6"/>
        <v>0.12096205864186996</v>
      </c>
    </row>
    <row r="23" spans="1:12" x14ac:dyDescent="0.25">
      <c r="B23" s="7"/>
      <c r="C23">
        <v>2019</v>
      </c>
      <c r="D23" s="29">
        <f t="shared" ref="D23:F23" si="7">D12/$M12</f>
        <v>0.45421834367536762</v>
      </c>
      <c r="E23" s="29">
        <f t="shared" si="7"/>
        <v>0.42519574469022714</v>
      </c>
      <c r="F23" s="29">
        <f t="shared" si="7"/>
        <v>0.12058591163440527</v>
      </c>
    </row>
    <row r="24" spans="1:12" x14ac:dyDescent="0.25">
      <c r="C24">
        <v>2020</v>
      </c>
      <c r="D24" s="29">
        <f>D13/$M13</f>
        <v>0.45207834151515247</v>
      </c>
      <c r="E24" s="29">
        <f t="shared" ref="E24" si="8">E13/$M13</f>
        <v>0.42786946803517567</v>
      </c>
      <c r="F24" s="29">
        <f>F13/$M13</f>
        <v>0.12005219044967198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E2" sqref="E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25" width="9.140625" style="23"/>
  </cols>
  <sheetData>
    <row r="1" spans="1:7" customFormat="1" x14ac:dyDescent="0.25">
      <c r="A1" t="s">
        <v>27</v>
      </c>
      <c r="B1" t="s">
        <v>28</v>
      </c>
      <c r="C1" t="s">
        <v>29</v>
      </c>
      <c r="D1" s="23"/>
      <c r="E1" s="23"/>
      <c r="F1" s="23"/>
      <c r="G1" s="23"/>
    </row>
    <row r="2" spans="1:7" customFormat="1" x14ac:dyDescent="0.25">
      <c r="A2">
        <v>2011</v>
      </c>
      <c r="B2">
        <v>1</v>
      </c>
      <c r="C2" s="1">
        <f>'Forecasted Targets'!$N$9/12</f>
        <v>0</v>
      </c>
      <c r="D2" s="24">
        <f>B2/12</f>
        <v>8.3333333333333329E-2</v>
      </c>
      <c r="E2" s="1">
        <f>C2*D2</f>
        <v>0</v>
      </c>
      <c r="F2" s="23"/>
      <c r="G2" s="23"/>
    </row>
    <row r="3" spans="1:7" customFormat="1" x14ac:dyDescent="0.25">
      <c r="A3">
        <v>2011</v>
      </c>
      <c r="B3">
        <v>2</v>
      </c>
      <c r="C3" s="1">
        <f>'Forecasted Targets'!$N$9/12</f>
        <v>0</v>
      </c>
      <c r="D3" s="24">
        <f t="shared" ref="D3:D12" si="0">B3/12</f>
        <v>0.16666666666666666</v>
      </c>
      <c r="E3" s="1">
        <f t="shared" ref="E3:E25" si="1">C3*D3</f>
        <v>0</v>
      </c>
      <c r="F3" s="3"/>
      <c r="G3" s="3"/>
    </row>
    <row r="4" spans="1:7" customFormat="1" x14ac:dyDescent="0.25">
      <c r="A4">
        <v>2011</v>
      </c>
      <c r="B4">
        <v>3</v>
      </c>
      <c r="C4" s="1">
        <f>'Forecasted Targets'!$N$9/12</f>
        <v>0</v>
      </c>
      <c r="D4" s="24">
        <f t="shared" si="0"/>
        <v>0.25</v>
      </c>
      <c r="E4" s="1">
        <f t="shared" si="1"/>
        <v>0</v>
      </c>
      <c r="F4" s="3"/>
      <c r="G4" s="3"/>
    </row>
    <row r="5" spans="1:7" customFormat="1" x14ac:dyDescent="0.25">
      <c r="A5">
        <v>2011</v>
      </c>
      <c r="B5">
        <v>4</v>
      </c>
      <c r="C5" s="1">
        <f>'Forecasted Targets'!$N$9/12</f>
        <v>0</v>
      </c>
      <c r="D5" s="24">
        <f t="shared" si="0"/>
        <v>0.33333333333333331</v>
      </c>
      <c r="E5" s="1">
        <f t="shared" si="1"/>
        <v>0</v>
      </c>
      <c r="F5" s="3"/>
      <c r="G5" s="3"/>
    </row>
    <row r="6" spans="1:7" customFormat="1" x14ac:dyDescent="0.25">
      <c r="A6">
        <v>2011</v>
      </c>
      <c r="B6">
        <v>5</v>
      </c>
      <c r="C6" s="1">
        <f>'Forecasted Targets'!$N$9/12</f>
        <v>0</v>
      </c>
      <c r="D6" s="24">
        <f t="shared" si="0"/>
        <v>0.41666666666666669</v>
      </c>
      <c r="E6" s="1">
        <f t="shared" si="1"/>
        <v>0</v>
      </c>
      <c r="F6" s="3"/>
      <c r="G6" s="3"/>
    </row>
    <row r="7" spans="1:7" customFormat="1" x14ac:dyDescent="0.25">
      <c r="A7">
        <v>2011</v>
      </c>
      <c r="B7">
        <v>6</v>
      </c>
      <c r="C7" s="1">
        <f>'Forecasted Targets'!$N$9/12</f>
        <v>0</v>
      </c>
      <c r="D7" s="24">
        <f t="shared" si="0"/>
        <v>0.5</v>
      </c>
      <c r="E7" s="1">
        <f t="shared" si="1"/>
        <v>0</v>
      </c>
      <c r="F7" s="3"/>
      <c r="G7" s="3"/>
    </row>
    <row r="8" spans="1:7" customFormat="1" x14ac:dyDescent="0.25">
      <c r="A8">
        <v>2011</v>
      </c>
      <c r="B8">
        <v>7</v>
      </c>
      <c r="C8" s="1">
        <f>'Forecasted Targets'!$N$9/12</f>
        <v>0</v>
      </c>
      <c r="D8" s="24">
        <f t="shared" si="0"/>
        <v>0.58333333333333337</v>
      </c>
      <c r="E8" s="1">
        <f t="shared" si="1"/>
        <v>0</v>
      </c>
      <c r="F8" s="3"/>
      <c r="G8" s="3"/>
    </row>
    <row r="9" spans="1:7" customFormat="1" x14ac:dyDescent="0.25">
      <c r="A9">
        <v>2011</v>
      </c>
      <c r="B9">
        <v>8</v>
      </c>
      <c r="C9" s="1">
        <f>'Forecasted Targets'!$N$9/12</f>
        <v>0</v>
      </c>
      <c r="D9" s="24">
        <f t="shared" si="0"/>
        <v>0.66666666666666663</v>
      </c>
      <c r="E9" s="1">
        <f t="shared" si="1"/>
        <v>0</v>
      </c>
      <c r="F9" s="3"/>
      <c r="G9" s="3"/>
    </row>
    <row r="10" spans="1:7" customFormat="1" x14ac:dyDescent="0.25">
      <c r="A10">
        <v>2011</v>
      </c>
      <c r="B10">
        <v>9</v>
      </c>
      <c r="C10" s="1">
        <f>'Forecasted Targets'!$N$9/12</f>
        <v>0</v>
      </c>
      <c r="D10" s="24">
        <f t="shared" si="0"/>
        <v>0.75</v>
      </c>
      <c r="E10" s="1">
        <f t="shared" si="1"/>
        <v>0</v>
      </c>
      <c r="F10" s="3"/>
      <c r="G10" s="3"/>
    </row>
    <row r="11" spans="1:7" customFormat="1" x14ac:dyDescent="0.25">
      <c r="A11">
        <v>2011</v>
      </c>
      <c r="B11">
        <v>10</v>
      </c>
      <c r="C11" s="1">
        <f>'Forecasted Targets'!$N$9/12</f>
        <v>0</v>
      </c>
      <c r="D11" s="24">
        <f t="shared" si="0"/>
        <v>0.83333333333333337</v>
      </c>
      <c r="E11" s="1">
        <f t="shared" si="1"/>
        <v>0</v>
      </c>
      <c r="F11" s="3"/>
      <c r="G11" s="3"/>
    </row>
    <row r="12" spans="1:7" customFormat="1" x14ac:dyDescent="0.25">
      <c r="A12">
        <v>2011</v>
      </c>
      <c r="B12">
        <v>11</v>
      </c>
      <c r="C12" s="1">
        <f>'Forecasted Targets'!$N$9/12</f>
        <v>0</v>
      </c>
      <c r="D12" s="24">
        <f t="shared" si="0"/>
        <v>0.91666666666666663</v>
      </c>
      <c r="E12" s="1">
        <f t="shared" si="1"/>
        <v>0</v>
      </c>
      <c r="F12" s="3"/>
      <c r="G12" s="3"/>
    </row>
    <row r="13" spans="1:7" customFormat="1" x14ac:dyDescent="0.25">
      <c r="A13">
        <v>2011</v>
      </c>
      <c r="B13">
        <v>12</v>
      </c>
      <c r="C13" s="1">
        <f>'Forecasted Targets'!$N$9/12</f>
        <v>0</v>
      </c>
      <c r="D13" s="24">
        <f>B13/12</f>
        <v>1</v>
      </c>
      <c r="E13" s="1">
        <f t="shared" si="1"/>
        <v>0</v>
      </c>
      <c r="F13" s="3"/>
      <c r="G13" s="3"/>
    </row>
    <row r="14" spans="1:7" customFormat="1" x14ac:dyDescent="0.25">
      <c r="A14">
        <f t="shared" ref="A14:A25" si="2">A2+1</f>
        <v>2012</v>
      </c>
      <c r="B14">
        <f t="shared" ref="B14:B25" si="3">B2</f>
        <v>1</v>
      </c>
      <c r="C14" s="1">
        <f>'Forecasted Targets'!$N$9/12</f>
        <v>0</v>
      </c>
      <c r="D14" s="26">
        <f>1-D2</f>
        <v>0.91666666666666663</v>
      </c>
      <c r="E14" s="1">
        <f t="shared" si="1"/>
        <v>0</v>
      </c>
      <c r="F14" s="3"/>
      <c r="G14" s="3"/>
    </row>
    <row r="15" spans="1:7" customFormat="1" ht="14.45" x14ac:dyDescent="0.3">
      <c r="A15">
        <f t="shared" si="2"/>
        <v>2012</v>
      </c>
      <c r="B15">
        <f t="shared" si="3"/>
        <v>2</v>
      </c>
      <c r="C15" s="1">
        <f>'Forecasted Targets'!$N$9/12</f>
        <v>0</v>
      </c>
      <c r="D15" s="26">
        <f t="shared" ref="D15:D25" si="4">1-D3</f>
        <v>0.83333333333333337</v>
      </c>
      <c r="E15" s="1">
        <f t="shared" si="1"/>
        <v>0</v>
      </c>
      <c r="F15" s="3"/>
      <c r="G15" s="3"/>
    </row>
    <row r="16" spans="1:7" customFormat="1" ht="14.45" x14ac:dyDescent="0.3">
      <c r="A16">
        <f t="shared" si="2"/>
        <v>2012</v>
      </c>
      <c r="B16">
        <f t="shared" si="3"/>
        <v>3</v>
      </c>
      <c r="C16" s="1">
        <f>'Forecasted Targets'!$N$9/12</f>
        <v>0</v>
      </c>
      <c r="D16" s="26">
        <f t="shared" si="4"/>
        <v>0.75</v>
      </c>
      <c r="E16" s="1">
        <f t="shared" si="1"/>
        <v>0</v>
      </c>
      <c r="F16" s="3"/>
      <c r="G16" s="3"/>
    </row>
    <row r="17" spans="1:7" customFormat="1" ht="14.45" x14ac:dyDescent="0.3">
      <c r="A17">
        <f t="shared" si="2"/>
        <v>2012</v>
      </c>
      <c r="B17">
        <f t="shared" si="3"/>
        <v>4</v>
      </c>
      <c r="C17" s="1">
        <f>'Forecasted Targets'!$N$9/12</f>
        <v>0</v>
      </c>
      <c r="D17" s="26">
        <f t="shared" si="4"/>
        <v>0.66666666666666674</v>
      </c>
      <c r="E17" s="1">
        <f t="shared" si="1"/>
        <v>0</v>
      </c>
      <c r="F17" s="3"/>
      <c r="G17" s="3"/>
    </row>
    <row r="18" spans="1:7" customFormat="1" ht="14.45" x14ac:dyDescent="0.3">
      <c r="A18">
        <f t="shared" si="2"/>
        <v>2012</v>
      </c>
      <c r="B18">
        <f t="shared" si="3"/>
        <v>5</v>
      </c>
      <c r="C18" s="1">
        <f>'Forecasted Targets'!$N$9/12</f>
        <v>0</v>
      </c>
      <c r="D18" s="26">
        <f t="shared" si="4"/>
        <v>0.58333333333333326</v>
      </c>
      <c r="E18" s="1">
        <f t="shared" si="1"/>
        <v>0</v>
      </c>
      <c r="F18" s="3"/>
      <c r="G18" s="3"/>
    </row>
    <row r="19" spans="1:7" customFormat="1" x14ac:dyDescent="0.25">
      <c r="A19">
        <f t="shared" si="2"/>
        <v>2012</v>
      </c>
      <c r="B19">
        <f t="shared" si="3"/>
        <v>6</v>
      </c>
      <c r="C19" s="1">
        <f>'Forecasted Targets'!$N$9/12</f>
        <v>0</v>
      </c>
      <c r="D19" s="26">
        <f t="shared" si="4"/>
        <v>0.5</v>
      </c>
      <c r="E19" s="1">
        <f t="shared" si="1"/>
        <v>0</v>
      </c>
      <c r="F19" s="3"/>
      <c r="G19" s="3"/>
    </row>
    <row r="20" spans="1:7" customFormat="1" x14ac:dyDescent="0.25">
      <c r="A20">
        <f t="shared" si="2"/>
        <v>2012</v>
      </c>
      <c r="B20">
        <f t="shared" si="3"/>
        <v>7</v>
      </c>
      <c r="C20" s="1">
        <f>'Forecasted Targets'!$N$9/12</f>
        <v>0</v>
      </c>
      <c r="D20" s="26">
        <f t="shared" si="4"/>
        <v>0.41666666666666663</v>
      </c>
      <c r="E20" s="1">
        <f t="shared" si="1"/>
        <v>0</v>
      </c>
      <c r="F20" s="3"/>
      <c r="G20" s="3"/>
    </row>
    <row r="21" spans="1:7" customFormat="1" x14ac:dyDescent="0.25">
      <c r="A21">
        <f t="shared" si="2"/>
        <v>2012</v>
      </c>
      <c r="B21">
        <f t="shared" si="3"/>
        <v>8</v>
      </c>
      <c r="C21" s="1">
        <f>'Forecasted Targets'!$N$9/12</f>
        <v>0</v>
      </c>
      <c r="D21" s="26">
        <f t="shared" si="4"/>
        <v>0.33333333333333337</v>
      </c>
      <c r="E21" s="1">
        <f t="shared" si="1"/>
        <v>0</v>
      </c>
      <c r="F21" s="3"/>
      <c r="G21" s="3"/>
    </row>
    <row r="22" spans="1:7" customFormat="1" x14ac:dyDescent="0.25">
      <c r="A22">
        <f t="shared" si="2"/>
        <v>2012</v>
      </c>
      <c r="B22">
        <f t="shared" si="3"/>
        <v>9</v>
      </c>
      <c r="C22" s="1">
        <f>'Forecasted Targets'!$N$9/12</f>
        <v>0</v>
      </c>
      <c r="D22" s="26">
        <f t="shared" si="4"/>
        <v>0.25</v>
      </c>
      <c r="E22" s="1">
        <f t="shared" si="1"/>
        <v>0</v>
      </c>
      <c r="F22" s="3"/>
      <c r="G22" s="3"/>
    </row>
    <row r="23" spans="1:7" customFormat="1" x14ac:dyDescent="0.25">
      <c r="A23">
        <f t="shared" si="2"/>
        <v>2012</v>
      </c>
      <c r="B23">
        <f t="shared" si="3"/>
        <v>10</v>
      </c>
      <c r="C23" s="1">
        <f>'Forecasted Targets'!$N$9/12</f>
        <v>0</v>
      </c>
      <c r="D23" s="26">
        <f t="shared" si="4"/>
        <v>0.16666666666666663</v>
      </c>
      <c r="E23" s="1">
        <f t="shared" si="1"/>
        <v>0</v>
      </c>
      <c r="F23" s="3"/>
      <c r="G23" s="3"/>
    </row>
    <row r="24" spans="1:7" customFormat="1" x14ac:dyDescent="0.25">
      <c r="A24">
        <f t="shared" si="2"/>
        <v>2012</v>
      </c>
      <c r="B24">
        <f t="shared" si="3"/>
        <v>11</v>
      </c>
      <c r="C24" s="1">
        <f>'Forecasted Targets'!$N$9/12</f>
        <v>0</v>
      </c>
      <c r="D24" s="26">
        <f t="shared" si="4"/>
        <v>8.333333333333337E-2</v>
      </c>
      <c r="E24" s="1">
        <f t="shared" si="1"/>
        <v>0</v>
      </c>
      <c r="F24" s="3"/>
      <c r="G24" s="3"/>
    </row>
    <row r="25" spans="1:7" customFormat="1" x14ac:dyDescent="0.25">
      <c r="A25">
        <f t="shared" si="2"/>
        <v>2012</v>
      </c>
      <c r="B25">
        <f t="shared" si="3"/>
        <v>12</v>
      </c>
      <c r="C25" s="1">
        <f>'Forecasted Targets'!$N$9/12</f>
        <v>0</v>
      </c>
      <c r="D25" s="26">
        <f t="shared" si="4"/>
        <v>0</v>
      </c>
      <c r="E25" s="1">
        <f t="shared" si="1"/>
        <v>0</v>
      </c>
      <c r="F25" s="3"/>
      <c r="G25" s="3"/>
    </row>
    <row r="26" spans="1:7" customFormat="1" x14ac:dyDescent="0.25">
      <c r="C26" s="1"/>
      <c r="D26" s="23"/>
      <c r="E26" s="23"/>
      <c r="F26" s="23"/>
      <c r="G26" s="23"/>
    </row>
    <row r="27" spans="1:7" customFormat="1" x14ac:dyDescent="0.25">
      <c r="C27" s="1"/>
      <c r="D27" s="23"/>
      <c r="E27" s="23"/>
      <c r="F27" s="23"/>
      <c r="G27" s="23"/>
    </row>
    <row r="28" spans="1:7" customFormat="1" x14ac:dyDescent="0.25">
      <c r="C28" s="1"/>
      <c r="D28" s="23"/>
      <c r="E28" s="23"/>
      <c r="F28" s="23"/>
      <c r="G28" s="23"/>
    </row>
    <row r="29" spans="1:7" customFormat="1" x14ac:dyDescent="0.25">
      <c r="C29" s="1"/>
      <c r="D29" s="23"/>
      <c r="E29" s="23"/>
      <c r="F29" s="23"/>
      <c r="G29" s="23"/>
    </row>
    <row r="30" spans="1:7" customFormat="1" x14ac:dyDescent="0.25">
      <c r="C30" s="1"/>
      <c r="D30" s="23"/>
      <c r="E30" s="23"/>
      <c r="F30" s="23"/>
      <c r="G30" s="23"/>
    </row>
    <row r="31" spans="1:7" customFormat="1" x14ac:dyDescent="0.25">
      <c r="C31" s="1"/>
      <c r="D31" s="23"/>
      <c r="E31" s="23"/>
      <c r="F31" s="23"/>
      <c r="G31" s="23"/>
    </row>
    <row r="32" spans="1:7" customFormat="1" x14ac:dyDescent="0.25">
      <c r="C32" s="1"/>
      <c r="D32" s="23"/>
      <c r="E32" s="23"/>
      <c r="F32" s="23"/>
      <c r="G32" s="23"/>
    </row>
    <row r="33" spans="3:3" customFormat="1" x14ac:dyDescent="0.25">
      <c r="C33" s="1"/>
    </row>
    <row r="34" spans="3:3" customFormat="1" x14ac:dyDescent="0.25">
      <c r="C34" s="1"/>
    </row>
    <row r="35" spans="3:3" customFormat="1" x14ac:dyDescent="0.25">
      <c r="C35" s="1"/>
    </row>
    <row r="36" spans="3:3" customFormat="1" x14ac:dyDescent="0.25">
      <c r="C36" s="1"/>
    </row>
    <row r="37" spans="3:3" customFormat="1" x14ac:dyDescent="0.25">
      <c r="C37" s="1"/>
    </row>
    <row r="38" spans="3:3" customFormat="1" x14ac:dyDescent="0.25">
      <c r="C38" s="1"/>
    </row>
    <row r="39" spans="3:3" customFormat="1" x14ac:dyDescent="0.25">
      <c r="C39" s="1"/>
    </row>
    <row r="40" spans="3:3" customFormat="1" x14ac:dyDescent="0.25">
      <c r="C40" s="1"/>
    </row>
    <row r="41" spans="3:3" customFormat="1" x14ac:dyDescent="0.25">
      <c r="C41" s="1"/>
    </row>
    <row r="42" spans="3:3" customFormat="1" x14ac:dyDescent="0.25">
      <c r="C42" s="1"/>
    </row>
    <row r="43" spans="3:3" customFormat="1" x14ac:dyDescent="0.25">
      <c r="C43" s="1"/>
    </row>
    <row r="44" spans="3:3" customFormat="1" x14ac:dyDescent="0.25">
      <c r="C44" s="1"/>
    </row>
    <row r="45" spans="3:3" customFormat="1" x14ac:dyDescent="0.25">
      <c r="C45" s="1"/>
    </row>
    <row r="46" spans="3:3" customFormat="1" x14ac:dyDescent="0.25">
      <c r="C46" s="1"/>
    </row>
    <row r="47" spans="3:3" customFormat="1" x14ac:dyDescent="0.25">
      <c r="C47" s="1"/>
    </row>
    <row r="48" spans="3:3" customFormat="1" x14ac:dyDescent="0.25">
      <c r="C48" s="1"/>
    </row>
    <row r="49" spans="3:3" customFormat="1" x14ac:dyDescent="0.25">
      <c r="C49" s="1"/>
    </row>
    <row r="50" spans="3:3" customFormat="1" x14ac:dyDescent="0.25">
      <c r="C50" s="1"/>
    </row>
    <row r="51" spans="3:3" customFormat="1" x14ac:dyDescent="0.25">
      <c r="C51" s="1"/>
    </row>
    <row r="52" spans="3:3" customFormat="1" x14ac:dyDescent="0.25">
      <c r="C52" s="1"/>
    </row>
    <row r="53" spans="3:3" customFormat="1" x14ac:dyDescent="0.25">
      <c r="C53" s="1"/>
    </row>
    <row r="54" spans="3:3" customFormat="1" x14ac:dyDescent="0.25">
      <c r="C54" s="1"/>
    </row>
    <row r="55" spans="3:3" customFormat="1" x14ac:dyDescent="0.25">
      <c r="C55" s="1"/>
    </row>
    <row r="56" spans="3:3" customFormat="1" x14ac:dyDescent="0.25">
      <c r="C56" s="1"/>
    </row>
    <row r="57" spans="3:3" customFormat="1" x14ac:dyDescent="0.25">
      <c r="C57" s="1"/>
    </row>
    <row r="58" spans="3:3" customFormat="1" x14ac:dyDescent="0.25">
      <c r="C58" s="1"/>
    </row>
    <row r="59" spans="3:3" customFormat="1" x14ac:dyDescent="0.25">
      <c r="C59" s="1"/>
    </row>
    <row r="60" spans="3:3" customFormat="1" x14ac:dyDescent="0.25">
      <c r="C60" s="1"/>
    </row>
    <row r="61" spans="3:3" customFormat="1" x14ac:dyDescent="0.25">
      <c r="C61" s="1"/>
    </row>
    <row r="62" spans="3:3" customFormat="1" x14ac:dyDescent="0.25">
      <c r="C62" s="1"/>
    </row>
    <row r="63" spans="3:3" customFormat="1" x14ac:dyDescent="0.25">
      <c r="C63" s="1"/>
    </row>
    <row r="64" spans="3:3" customFormat="1" x14ac:dyDescent="0.25">
      <c r="C64" s="1"/>
    </row>
    <row r="65" spans="3:3" customFormat="1" x14ac:dyDescent="0.25">
      <c r="C65" s="1"/>
    </row>
    <row r="66" spans="3:3" customFormat="1" x14ac:dyDescent="0.25">
      <c r="C66" s="1"/>
    </row>
    <row r="67" spans="3:3" customFormat="1" x14ac:dyDescent="0.25">
      <c r="C67" s="1"/>
    </row>
    <row r="68" spans="3:3" customFormat="1" x14ac:dyDescent="0.25">
      <c r="C68" s="1"/>
    </row>
    <row r="69" spans="3:3" customFormat="1" x14ac:dyDescent="0.25">
      <c r="C69" s="1"/>
    </row>
    <row r="70" spans="3:3" customFormat="1" x14ac:dyDescent="0.25">
      <c r="C70" s="1"/>
    </row>
    <row r="71" spans="3:3" customFormat="1" x14ac:dyDescent="0.25">
      <c r="C71" s="1"/>
    </row>
    <row r="72" spans="3:3" customFormat="1" x14ac:dyDescent="0.25">
      <c r="C7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E2" sqref="E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25" width="9.140625" style="23"/>
  </cols>
  <sheetData>
    <row r="1" spans="1:7" customFormat="1" x14ac:dyDescent="0.25">
      <c r="A1" t="s">
        <v>27</v>
      </c>
      <c r="B1" t="s">
        <v>28</v>
      </c>
      <c r="C1" t="s">
        <v>29</v>
      </c>
      <c r="D1" s="23"/>
      <c r="E1" s="23"/>
      <c r="F1" s="23"/>
      <c r="G1" s="23"/>
    </row>
    <row r="2" spans="1:7" customFormat="1" x14ac:dyDescent="0.25">
      <c r="A2">
        <v>2012</v>
      </c>
      <c r="B2">
        <v>1</v>
      </c>
      <c r="C2" s="1">
        <f>'Forecasted Targets'!$N$10/12</f>
        <v>0</v>
      </c>
      <c r="D2" s="24">
        <f>B2/12</f>
        <v>8.3333333333333329E-2</v>
      </c>
      <c r="E2" s="1">
        <f>C2*D2</f>
        <v>0</v>
      </c>
      <c r="F2" s="23"/>
      <c r="G2" s="23"/>
    </row>
    <row r="3" spans="1:7" customFormat="1" x14ac:dyDescent="0.25">
      <c r="A3">
        <v>2012</v>
      </c>
      <c r="B3">
        <v>2</v>
      </c>
      <c r="C3" s="1">
        <f>'Forecasted Targets'!$N$10/12</f>
        <v>0</v>
      </c>
      <c r="D3" s="24">
        <f t="shared" ref="D3:D13" si="0">B3/12</f>
        <v>0.16666666666666666</v>
      </c>
      <c r="E3" s="1">
        <f t="shared" ref="E3:E25" si="1">C3*D3</f>
        <v>0</v>
      </c>
      <c r="F3" s="3"/>
      <c r="G3" s="3"/>
    </row>
    <row r="4" spans="1:7" customFormat="1" x14ac:dyDescent="0.25">
      <c r="A4">
        <v>2012</v>
      </c>
      <c r="B4">
        <v>3</v>
      </c>
      <c r="C4" s="1">
        <f>'Forecasted Targets'!$N$10/12</f>
        <v>0</v>
      </c>
      <c r="D4" s="24">
        <f t="shared" si="0"/>
        <v>0.25</v>
      </c>
      <c r="E4" s="1">
        <f t="shared" si="1"/>
        <v>0</v>
      </c>
      <c r="F4" s="3"/>
      <c r="G4" s="3"/>
    </row>
    <row r="5" spans="1:7" customFormat="1" x14ac:dyDescent="0.25">
      <c r="A5">
        <v>2012</v>
      </c>
      <c r="B5">
        <v>4</v>
      </c>
      <c r="C5" s="1">
        <f>'Forecasted Targets'!$N$10/12</f>
        <v>0</v>
      </c>
      <c r="D5" s="24">
        <f t="shared" si="0"/>
        <v>0.33333333333333331</v>
      </c>
      <c r="E5" s="1">
        <f t="shared" si="1"/>
        <v>0</v>
      </c>
      <c r="F5" s="3"/>
      <c r="G5" s="3"/>
    </row>
    <row r="6" spans="1:7" customFormat="1" x14ac:dyDescent="0.25">
      <c r="A6">
        <v>2012</v>
      </c>
      <c r="B6">
        <v>5</v>
      </c>
      <c r="C6" s="1">
        <f>'Forecasted Targets'!$N$10/12</f>
        <v>0</v>
      </c>
      <c r="D6" s="24">
        <f t="shared" si="0"/>
        <v>0.41666666666666669</v>
      </c>
      <c r="E6" s="1">
        <f t="shared" si="1"/>
        <v>0</v>
      </c>
      <c r="F6" s="3"/>
      <c r="G6" s="3"/>
    </row>
    <row r="7" spans="1:7" customFormat="1" x14ac:dyDescent="0.25">
      <c r="A7">
        <v>2012</v>
      </c>
      <c r="B7">
        <v>6</v>
      </c>
      <c r="C7" s="1">
        <f>'Forecasted Targets'!$N$10/12</f>
        <v>0</v>
      </c>
      <c r="D7" s="24">
        <f t="shared" si="0"/>
        <v>0.5</v>
      </c>
      <c r="E7" s="1">
        <f t="shared" si="1"/>
        <v>0</v>
      </c>
      <c r="F7" s="3"/>
      <c r="G7" s="3"/>
    </row>
    <row r="8" spans="1:7" customFormat="1" x14ac:dyDescent="0.25">
      <c r="A8">
        <v>2012</v>
      </c>
      <c r="B8">
        <v>7</v>
      </c>
      <c r="C8" s="1">
        <f>'Forecasted Targets'!$N$10/12</f>
        <v>0</v>
      </c>
      <c r="D8" s="24">
        <f t="shared" si="0"/>
        <v>0.58333333333333337</v>
      </c>
      <c r="E8" s="1">
        <f t="shared" si="1"/>
        <v>0</v>
      </c>
      <c r="F8" s="3"/>
      <c r="G8" s="3"/>
    </row>
    <row r="9" spans="1:7" customFormat="1" x14ac:dyDescent="0.25">
      <c r="A9">
        <v>2012</v>
      </c>
      <c r="B9">
        <v>8</v>
      </c>
      <c r="C9" s="1">
        <f>'Forecasted Targets'!$N$10/12</f>
        <v>0</v>
      </c>
      <c r="D9" s="24">
        <f t="shared" si="0"/>
        <v>0.66666666666666663</v>
      </c>
      <c r="E9" s="1">
        <f t="shared" si="1"/>
        <v>0</v>
      </c>
      <c r="F9" s="3"/>
      <c r="G9" s="3"/>
    </row>
    <row r="10" spans="1:7" customFormat="1" x14ac:dyDescent="0.25">
      <c r="A10">
        <v>2012</v>
      </c>
      <c r="B10">
        <v>9</v>
      </c>
      <c r="C10" s="1">
        <f>'Forecasted Targets'!$N$10/12</f>
        <v>0</v>
      </c>
      <c r="D10" s="24">
        <f t="shared" si="0"/>
        <v>0.75</v>
      </c>
      <c r="E10" s="1">
        <f t="shared" si="1"/>
        <v>0</v>
      </c>
      <c r="F10" s="3"/>
      <c r="G10" s="3"/>
    </row>
    <row r="11" spans="1:7" customFormat="1" x14ac:dyDescent="0.25">
      <c r="A11">
        <v>2012</v>
      </c>
      <c r="B11">
        <v>10</v>
      </c>
      <c r="C11" s="1">
        <f>'Forecasted Targets'!$N$10/12</f>
        <v>0</v>
      </c>
      <c r="D11" s="24">
        <f t="shared" si="0"/>
        <v>0.83333333333333337</v>
      </c>
      <c r="E11" s="1">
        <f t="shared" si="1"/>
        <v>0</v>
      </c>
      <c r="F11" s="3"/>
      <c r="G11" s="3"/>
    </row>
    <row r="12" spans="1:7" customFormat="1" x14ac:dyDescent="0.25">
      <c r="A12">
        <v>2012</v>
      </c>
      <c r="B12">
        <v>11</v>
      </c>
      <c r="C12" s="1">
        <f>'Forecasted Targets'!$N$10/12</f>
        <v>0</v>
      </c>
      <c r="D12" s="24">
        <f t="shared" si="0"/>
        <v>0.91666666666666663</v>
      </c>
      <c r="E12" s="1">
        <f t="shared" si="1"/>
        <v>0</v>
      </c>
      <c r="F12" s="3"/>
      <c r="G12" s="3"/>
    </row>
    <row r="13" spans="1:7" customFormat="1" x14ac:dyDescent="0.25">
      <c r="A13">
        <v>2012</v>
      </c>
      <c r="B13">
        <v>12</v>
      </c>
      <c r="C13" s="1">
        <f>'Forecasted Targets'!$N$10/12</f>
        <v>0</v>
      </c>
      <c r="D13" s="24">
        <f t="shared" si="0"/>
        <v>1</v>
      </c>
      <c r="E13" s="1">
        <f t="shared" si="1"/>
        <v>0</v>
      </c>
      <c r="F13" s="3"/>
      <c r="G13" s="3"/>
    </row>
    <row r="14" spans="1:7" customFormat="1" x14ac:dyDescent="0.25">
      <c r="A14">
        <f t="shared" ref="A14:A25" si="2">A2+1</f>
        <v>2013</v>
      </c>
      <c r="B14">
        <f t="shared" ref="B14:B25" si="3">B2</f>
        <v>1</v>
      </c>
      <c r="C14" s="1">
        <f>'Forecasted Targets'!$N$10/12</f>
        <v>0</v>
      </c>
      <c r="D14" s="26">
        <f>1-D2</f>
        <v>0.91666666666666663</v>
      </c>
      <c r="E14" s="1">
        <f t="shared" si="1"/>
        <v>0</v>
      </c>
      <c r="F14" s="3"/>
      <c r="G14" s="3"/>
    </row>
    <row r="15" spans="1:7" customFormat="1" ht="14.45" x14ac:dyDescent="0.3">
      <c r="A15">
        <f t="shared" si="2"/>
        <v>2013</v>
      </c>
      <c r="B15">
        <f t="shared" si="3"/>
        <v>2</v>
      </c>
      <c r="C15" s="1">
        <f>'Forecasted Targets'!$N$10/12</f>
        <v>0</v>
      </c>
      <c r="D15" s="26">
        <f t="shared" ref="D15:D25" si="4">1-D3</f>
        <v>0.83333333333333337</v>
      </c>
      <c r="E15" s="1">
        <f t="shared" si="1"/>
        <v>0</v>
      </c>
      <c r="F15" s="3"/>
      <c r="G15" s="3"/>
    </row>
    <row r="16" spans="1:7" customFormat="1" ht="14.45" x14ac:dyDescent="0.3">
      <c r="A16">
        <f t="shared" si="2"/>
        <v>2013</v>
      </c>
      <c r="B16">
        <f t="shared" si="3"/>
        <v>3</v>
      </c>
      <c r="C16" s="1">
        <f>'Forecasted Targets'!$N$10/12</f>
        <v>0</v>
      </c>
      <c r="D16" s="26">
        <f t="shared" si="4"/>
        <v>0.75</v>
      </c>
      <c r="E16" s="1">
        <f t="shared" si="1"/>
        <v>0</v>
      </c>
      <c r="F16" s="3"/>
      <c r="G16" s="3"/>
    </row>
    <row r="17" spans="1:7" customFormat="1" ht="14.45" x14ac:dyDescent="0.3">
      <c r="A17">
        <f t="shared" si="2"/>
        <v>2013</v>
      </c>
      <c r="B17">
        <f t="shared" si="3"/>
        <v>4</v>
      </c>
      <c r="C17" s="1">
        <f>'Forecasted Targets'!$N$10/12</f>
        <v>0</v>
      </c>
      <c r="D17" s="26">
        <f t="shared" si="4"/>
        <v>0.66666666666666674</v>
      </c>
      <c r="E17" s="1">
        <f t="shared" si="1"/>
        <v>0</v>
      </c>
      <c r="F17" s="3"/>
      <c r="G17" s="3"/>
    </row>
    <row r="18" spans="1:7" customFormat="1" ht="14.45" x14ac:dyDescent="0.3">
      <c r="A18">
        <f t="shared" si="2"/>
        <v>2013</v>
      </c>
      <c r="B18">
        <f t="shared" si="3"/>
        <v>5</v>
      </c>
      <c r="C18" s="1">
        <f>'Forecasted Targets'!$N$10/12</f>
        <v>0</v>
      </c>
      <c r="D18" s="26">
        <f t="shared" si="4"/>
        <v>0.58333333333333326</v>
      </c>
      <c r="E18" s="1">
        <f t="shared" si="1"/>
        <v>0</v>
      </c>
      <c r="F18" s="3"/>
      <c r="G18" s="3"/>
    </row>
    <row r="19" spans="1:7" customFormat="1" x14ac:dyDescent="0.25">
      <c r="A19">
        <f t="shared" si="2"/>
        <v>2013</v>
      </c>
      <c r="B19">
        <f t="shared" si="3"/>
        <v>6</v>
      </c>
      <c r="C19" s="1">
        <f>'Forecasted Targets'!$N$10/12</f>
        <v>0</v>
      </c>
      <c r="D19" s="26">
        <f t="shared" si="4"/>
        <v>0.5</v>
      </c>
      <c r="E19" s="1">
        <f t="shared" si="1"/>
        <v>0</v>
      </c>
      <c r="F19" s="3"/>
      <c r="G19" s="3"/>
    </row>
    <row r="20" spans="1:7" customFormat="1" x14ac:dyDescent="0.25">
      <c r="A20">
        <f t="shared" si="2"/>
        <v>2013</v>
      </c>
      <c r="B20">
        <f t="shared" si="3"/>
        <v>7</v>
      </c>
      <c r="C20" s="1">
        <f>'Forecasted Targets'!$N$10/12</f>
        <v>0</v>
      </c>
      <c r="D20" s="26">
        <f t="shared" si="4"/>
        <v>0.41666666666666663</v>
      </c>
      <c r="E20" s="1">
        <f t="shared" si="1"/>
        <v>0</v>
      </c>
      <c r="F20" s="3"/>
      <c r="G20" s="3"/>
    </row>
    <row r="21" spans="1:7" customFormat="1" x14ac:dyDescent="0.25">
      <c r="A21">
        <f t="shared" si="2"/>
        <v>2013</v>
      </c>
      <c r="B21">
        <f t="shared" si="3"/>
        <v>8</v>
      </c>
      <c r="C21" s="1">
        <f>'Forecasted Targets'!$N$10/12</f>
        <v>0</v>
      </c>
      <c r="D21" s="26">
        <f t="shared" si="4"/>
        <v>0.33333333333333337</v>
      </c>
      <c r="E21" s="1">
        <f t="shared" si="1"/>
        <v>0</v>
      </c>
      <c r="F21" s="3"/>
      <c r="G21" s="3"/>
    </row>
    <row r="22" spans="1:7" customFormat="1" x14ac:dyDescent="0.25">
      <c r="A22">
        <f t="shared" si="2"/>
        <v>2013</v>
      </c>
      <c r="B22">
        <f t="shared" si="3"/>
        <v>9</v>
      </c>
      <c r="C22" s="1">
        <f>'Forecasted Targets'!$N$10/12</f>
        <v>0</v>
      </c>
      <c r="D22" s="26">
        <f t="shared" si="4"/>
        <v>0.25</v>
      </c>
      <c r="E22" s="1">
        <f t="shared" si="1"/>
        <v>0</v>
      </c>
      <c r="F22" s="3"/>
      <c r="G22" s="3"/>
    </row>
    <row r="23" spans="1:7" customFormat="1" x14ac:dyDescent="0.25">
      <c r="A23">
        <f t="shared" si="2"/>
        <v>2013</v>
      </c>
      <c r="B23">
        <f t="shared" si="3"/>
        <v>10</v>
      </c>
      <c r="C23" s="1">
        <f>'Forecasted Targets'!$N$10/12</f>
        <v>0</v>
      </c>
      <c r="D23" s="26">
        <f t="shared" si="4"/>
        <v>0.16666666666666663</v>
      </c>
      <c r="E23" s="1">
        <f t="shared" si="1"/>
        <v>0</v>
      </c>
      <c r="F23" s="3"/>
      <c r="G23" s="3"/>
    </row>
    <row r="24" spans="1:7" customFormat="1" x14ac:dyDescent="0.25">
      <c r="A24">
        <f t="shared" si="2"/>
        <v>2013</v>
      </c>
      <c r="B24">
        <f t="shared" si="3"/>
        <v>11</v>
      </c>
      <c r="C24" s="1">
        <f>'Forecasted Targets'!$N$10/12</f>
        <v>0</v>
      </c>
      <c r="D24" s="26">
        <f t="shared" si="4"/>
        <v>8.333333333333337E-2</v>
      </c>
      <c r="E24" s="1">
        <f t="shared" si="1"/>
        <v>0</v>
      </c>
      <c r="F24" s="3"/>
      <c r="G24" s="3"/>
    </row>
    <row r="25" spans="1:7" customFormat="1" x14ac:dyDescent="0.25">
      <c r="A25">
        <f t="shared" si="2"/>
        <v>2013</v>
      </c>
      <c r="B25">
        <f t="shared" si="3"/>
        <v>12</v>
      </c>
      <c r="C25" s="1">
        <f>'Forecasted Targets'!$N$10/12</f>
        <v>0</v>
      </c>
      <c r="D25" s="26">
        <f t="shared" si="4"/>
        <v>0</v>
      </c>
      <c r="E25" s="1">
        <f t="shared" si="1"/>
        <v>0</v>
      </c>
      <c r="F25" s="3"/>
      <c r="G25" s="3"/>
    </row>
    <row r="26" spans="1:7" customFormat="1" x14ac:dyDescent="0.25">
      <c r="C26" s="1"/>
      <c r="D26" s="23"/>
      <c r="E26" s="23"/>
      <c r="F26" s="23"/>
      <c r="G26" s="23"/>
    </row>
    <row r="27" spans="1:7" customFormat="1" x14ac:dyDescent="0.25">
      <c r="C27" s="1"/>
      <c r="D27" s="23"/>
      <c r="E27" s="23"/>
      <c r="F27" s="23"/>
      <c r="G27" s="23"/>
    </row>
    <row r="28" spans="1:7" customFormat="1" x14ac:dyDescent="0.25">
      <c r="C28" s="1"/>
      <c r="D28" s="23"/>
      <c r="E28" s="23"/>
      <c r="F28" s="23"/>
      <c r="G28" s="23"/>
    </row>
    <row r="29" spans="1:7" customFormat="1" x14ac:dyDescent="0.25">
      <c r="C29" s="1"/>
      <c r="D29" s="23"/>
      <c r="E29" s="23"/>
      <c r="F29" s="23"/>
      <c r="G29" s="23"/>
    </row>
    <row r="30" spans="1:7" customFormat="1" x14ac:dyDescent="0.25">
      <c r="C30" s="1"/>
      <c r="D30" s="23"/>
      <c r="E30" s="23"/>
      <c r="F30" s="23"/>
      <c r="G30" s="23"/>
    </row>
    <row r="31" spans="1:7" customFormat="1" x14ac:dyDescent="0.25">
      <c r="C31" s="1"/>
      <c r="D31" s="23"/>
      <c r="E31" s="23"/>
      <c r="F31" s="23"/>
      <c r="G31" s="23"/>
    </row>
    <row r="32" spans="1:7" customFormat="1" x14ac:dyDescent="0.25">
      <c r="C32" s="1"/>
      <c r="D32" s="23"/>
      <c r="E32" s="23"/>
      <c r="F32" s="23"/>
      <c r="G32" s="23"/>
    </row>
    <row r="33" spans="3:3" customFormat="1" x14ac:dyDescent="0.25">
      <c r="C33" s="1"/>
    </row>
    <row r="34" spans="3:3" customFormat="1" x14ac:dyDescent="0.25">
      <c r="C34" s="1"/>
    </row>
    <row r="35" spans="3:3" customFormat="1" x14ac:dyDescent="0.25">
      <c r="C35" s="1"/>
    </row>
    <row r="36" spans="3:3" customFormat="1" x14ac:dyDescent="0.25">
      <c r="C36" s="1"/>
    </row>
    <row r="37" spans="3:3" customFormat="1" x14ac:dyDescent="0.25">
      <c r="C37" s="1"/>
    </row>
    <row r="38" spans="3:3" customFormat="1" x14ac:dyDescent="0.25">
      <c r="C38" s="1"/>
    </row>
    <row r="39" spans="3:3" customFormat="1" x14ac:dyDescent="0.25">
      <c r="C39" s="1"/>
    </row>
    <row r="40" spans="3:3" customFormat="1" x14ac:dyDescent="0.25">
      <c r="C40" s="1"/>
    </row>
    <row r="41" spans="3:3" customFormat="1" x14ac:dyDescent="0.25">
      <c r="C41" s="1"/>
    </row>
    <row r="42" spans="3:3" customFormat="1" x14ac:dyDescent="0.25">
      <c r="C42" s="1"/>
    </row>
    <row r="43" spans="3:3" customFormat="1" x14ac:dyDescent="0.25">
      <c r="C43" s="1"/>
    </row>
    <row r="44" spans="3:3" customFormat="1" x14ac:dyDescent="0.25">
      <c r="C44" s="1"/>
    </row>
    <row r="45" spans="3:3" customFormat="1" x14ac:dyDescent="0.25">
      <c r="C45" s="1"/>
    </row>
    <row r="46" spans="3:3" customFormat="1" x14ac:dyDescent="0.25">
      <c r="C46" s="1"/>
    </row>
    <row r="47" spans="3:3" customFormat="1" x14ac:dyDescent="0.25">
      <c r="C47" s="1"/>
    </row>
    <row r="48" spans="3:3" customFormat="1" x14ac:dyDescent="0.25">
      <c r="C48" s="1"/>
    </row>
    <row r="49" spans="3:3" customFormat="1" x14ac:dyDescent="0.25">
      <c r="C49" s="1"/>
    </row>
    <row r="50" spans="3:3" customFormat="1" x14ac:dyDescent="0.25">
      <c r="C50" s="1"/>
    </row>
    <row r="51" spans="3:3" customFormat="1" x14ac:dyDescent="0.25">
      <c r="C51" s="1"/>
    </row>
    <row r="52" spans="3:3" customFormat="1" x14ac:dyDescent="0.25">
      <c r="C52" s="1"/>
    </row>
    <row r="53" spans="3:3" customFormat="1" x14ac:dyDescent="0.25">
      <c r="C53" s="1"/>
    </row>
    <row r="54" spans="3:3" customFormat="1" x14ac:dyDescent="0.25">
      <c r="C54" s="1"/>
    </row>
    <row r="55" spans="3:3" customFormat="1" x14ac:dyDescent="0.25">
      <c r="C55" s="1"/>
    </row>
    <row r="56" spans="3:3" customFormat="1" x14ac:dyDescent="0.25">
      <c r="C56" s="1"/>
    </row>
    <row r="57" spans="3:3" customFormat="1" x14ac:dyDescent="0.25">
      <c r="C57" s="1"/>
    </row>
    <row r="58" spans="3:3" customFormat="1" x14ac:dyDescent="0.25">
      <c r="C58" s="1"/>
    </row>
    <row r="59" spans="3:3" customFormat="1" x14ac:dyDescent="0.25">
      <c r="C59" s="1"/>
    </row>
    <row r="60" spans="3:3" customFormat="1" x14ac:dyDescent="0.25">
      <c r="C60" s="1"/>
    </row>
    <row r="61" spans="3:3" customFormat="1" x14ac:dyDescent="0.25">
      <c r="C61" s="1"/>
    </row>
    <row r="62" spans="3:3" customFormat="1" x14ac:dyDescent="0.25">
      <c r="C62" s="1"/>
    </row>
    <row r="63" spans="3:3" customFormat="1" x14ac:dyDescent="0.25">
      <c r="C63" s="1"/>
    </row>
    <row r="64" spans="3:3" customFormat="1" x14ac:dyDescent="0.25">
      <c r="C64" s="1"/>
    </row>
    <row r="65" spans="3:3" customFormat="1" x14ac:dyDescent="0.25">
      <c r="C65" s="1"/>
    </row>
    <row r="66" spans="3:3" customFormat="1" x14ac:dyDescent="0.25">
      <c r="C66" s="1"/>
    </row>
    <row r="67" spans="3:3" customFormat="1" x14ac:dyDescent="0.25">
      <c r="C67" s="1"/>
    </row>
    <row r="68" spans="3:3" customFormat="1" x14ac:dyDescent="0.25">
      <c r="C68" s="1"/>
    </row>
    <row r="69" spans="3:3" customFormat="1" x14ac:dyDescent="0.25">
      <c r="C69" s="1"/>
    </row>
    <row r="70" spans="3:3" customFormat="1" x14ac:dyDescent="0.25">
      <c r="C70" s="1"/>
    </row>
    <row r="71" spans="3:3" customFormat="1" x14ac:dyDescent="0.25">
      <c r="C71" s="1"/>
    </row>
    <row r="72" spans="3:3" customFormat="1" x14ac:dyDescent="0.25">
      <c r="C7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F17" sqref="F17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25" width="9.140625" style="23"/>
  </cols>
  <sheetData>
    <row r="1" spans="1:7" customFormat="1" x14ac:dyDescent="0.25">
      <c r="A1" t="s">
        <v>27</v>
      </c>
      <c r="B1" t="s">
        <v>28</v>
      </c>
      <c r="C1" t="s">
        <v>29</v>
      </c>
      <c r="D1" s="23"/>
      <c r="E1" s="23"/>
      <c r="F1" s="23"/>
      <c r="G1" s="23"/>
    </row>
    <row r="2" spans="1:7" customFormat="1" x14ac:dyDescent="0.25">
      <c r="A2">
        <v>2013</v>
      </c>
      <c r="B2">
        <v>1</v>
      </c>
      <c r="C2" s="1">
        <f>'Forecasted Targets'!$N$11/12</f>
        <v>0</v>
      </c>
      <c r="D2" s="24">
        <f>B2/12</f>
        <v>8.3333333333333329E-2</v>
      </c>
      <c r="E2" s="1">
        <f>C2*D2</f>
        <v>0</v>
      </c>
      <c r="F2" s="23"/>
      <c r="G2" s="23"/>
    </row>
    <row r="3" spans="1:7" customFormat="1" x14ac:dyDescent="0.25">
      <c r="A3">
        <v>2013</v>
      </c>
      <c r="B3">
        <v>2</v>
      </c>
      <c r="C3" s="1">
        <f>'Forecasted Targets'!$N$11/12</f>
        <v>0</v>
      </c>
      <c r="D3" s="24">
        <f t="shared" ref="D3:D13" si="0">B3/12</f>
        <v>0.16666666666666666</v>
      </c>
      <c r="E3" s="1">
        <f t="shared" ref="E3:E25" si="1">C3*D3</f>
        <v>0</v>
      </c>
      <c r="F3" s="3"/>
      <c r="G3" s="3"/>
    </row>
    <row r="4" spans="1:7" customFormat="1" x14ac:dyDescent="0.25">
      <c r="A4">
        <v>2013</v>
      </c>
      <c r="B4">
        <v>3</v>
      </c>
      <c r="C4" s="1">
        <f>'Forecasted Targets'!$N$11/12</f>
        <v>0</v>
      </c>
      <c r="D4" s="24">
        <f t="shared" si="0"/>
        <v>0.25</v>
      </c>
      <c r="E4" s="1">
        <f t="shared" si="1"/>
        <v>0</v>
      </c>
      <c r="F4" s="3"/>
      <c r="G4" s="3"/>
    </row>
    <row r="5" spans="1:7" customFormat="1" x14ac:dyDescent="0.25">
      <c r="A5">
        <v>2013</v>
      </c>
      <c r="B5">
        <v>4</v>
      </c>
      <c r="C5" s="1">
        <f>'Forecasted Targets'!$N$11/12</f>
        <v>0</v>
      </c>
      <c r="D5" s="24">
        <f t="shared" si="0"/>
        <v>0.33333333333333331</v>
      </c>
      <c r="E5" s="1">
        <f t="shared" si="1"/>
        <v>0</v>
      </c>
      <c r="F5" s="3"/>
      <c r="G5" s="3"/>
    </row>
    <row r="6" spans="1:7" customFormat="1" x14ac:dyDescent="0.25">
      <c r="A6">
        <v>2013</v>
      </c>
      <c r="B6">
        <v>5</v>
      </c>
      <c r="C6" s="1">
        <f>'Forecasted Targets'!$N$11/12</f>
        <v>0</v>
      </c>
      <c r="D6" s="24">
        <f t="shared" si="0"/>
        <v>0.41666666666666669</v>
      </c>
      <c r="E6" s="1">
        <f t="shared" si="1"/>
        <v>0</v>
      </c>
      <c r="F6" s="3"/>
      <c r="G6" s="3"/>
    </row>
    <row r="7" spans="1:7" customFormat="1" x14ac:dyDescent="0.25">
      <c r="A7">
        <v>2013</v>
      </c>
      <c r="B7">
        <v>6</v>
      </c>
      <c r="C7" s="1">
        <f>'Forecasted Targets'!$N$11/12</f>
        <v>0</v>
      </c>
      <c r="D7" s="24">
        <f t="shared" si="0"/>
        <v>0.5</v>
      </c>
      <c r="E7" s="1">
        <f t="shared" si="1"/>
        <v>0</v>
      </c>
      <c r="F7" s="3"/>
      <c r="G7" s="3"/>
    </row>
    <row r="8" spans="1:7" customFormat="1" x14ac:dyDescent="0.25">
      <c r="A8">
        <v>2013</v>
      </c>
      <c r="B8">
        <v>7</v>
      </c>
      <c r="C8" s="1">
        <f>'Forecasted Targets'!$N$11/12</f>
        <v>0</v>
      </c>
      <c r="D8" s="24">
        <f t="shared" si="0"/>
        <v>0.58333333333333337</v>
      </c>
      <c r="E8" s="1">
        <f t="shared" si="1"/>
        <v>0</v>
      </c>
      <c r="F8" s="3"/>
      <c r="G8" s="3"/>
    </row>
    <row r="9" spans="1:7" customFormat="1" x14ac:dyDescent="0.25">
      <c r="A9">
        <v>2013</v>
      </c>
      <c r="B9">
        <v>8</v>
      </c>
      <c r="C9" s="1">
        <f>'Forecasted Targets'!$N$11/12</f>
        <v>0</v>
      </c>
      <c r="D9" s="24">
        <f t="shared" si="0"/>
        <v>0.66666666666666663</v>
      </c>
      <c r="E9" s="1">
        <f t="shared" si="1"/>
        <v>0</v>
      </c>
      <c r="F9" s="3"/>
      <c r="G9" s="3"/>
    </row>
    <row r="10" spans="1:7" customFormat="1" x14ac:dyDescent="0.25">
      <c r="A10">
        <v>2013</v>
      </c>
      <c r="B10">
        <v>9</v>
      </c>
      <c r="C10" s="1">
        <f>'Forecasted Targets'!$N$11/12</f>
        <v>0</v>
      </c>
      <c r="D10" s="24">
        <f t="shared" si="0"/>
        <v>0.75</v>
      </c>
      <c r="E10" s="1">
        <f t="shared" si="1"/>
        <v>0</v>
      </c>
      <c r="F10" s="3"/>
      <c r="G10" s="3"/>
    </row>
    <row r="11" spans="1:7" customFormat="1" x14ac:dyDescent="0.25">
      <c r="A11">
        <v>2013</v>
      </c>
      <c r="B11">
        <v>10</v>
      </c>
      <c r="C11" s="1">
        <f>'Forecasted Targets'!$N$11/12</f>
        <v>0</v>
      </c>
      <c r="D11" s="24">
        <f t="shared" si="0"/>
        <v>0.83333333333333337</v>
      </c>
      <c r="E11" s="1">
        <f t="shared" si="1"/>
        <v>0</v>
      </c>
      <c r="F11" s="3"/>
      <c r="G11" s="3"/>
    </row>
    <row r="12" spans="1:7" customFormat="1" x14ac:dyDescent="0.25">
      <c r="A12">
        <v>2013</v>
      </c>
      <c r="B12">
        <v>11</v>
      </c>
      <c r="C12" s="1">
        <f>'Forecasted Targets'!$N$11/12</f>
        <v>0</v>
      </c>
      <c r="D12" s="24">
        <f t="shared" si="0"/>
        <v>0.91666666666666663</v>
      </c>
      <c r="E12" s="1">
        <f t="shared" si="1"/>
        <v>0</v>
      </c>
      <c r="F12" s="3"/>
      <c r="G12" s="3"/>
    </row>
    <row r="13" spans="1:7" customFormat="1" x14ac:dyDescent="0.25">
      <c r="A13">
        <v>2013</v>
      </c>
      <c r="B13">
        <v>12</v>
      </c>
      <c r="C13" s="1">
        <f>'Forecasted Targets'!$N$11/12</f>
        <v>0</v>
      </c>
      <c r="D13" s="24">
        <f t="shared" si="0"/>
        <v>1</v>
      </c>
      <c r="E13" s="1">
        <f t="shared" si="1"/>
        <v>0</v>
      </c>
      <c r="F13" s="3"/>
      <c r="G13" s="3"/>
    </row>
    <row r="14" spans="1:7" customFormat="1" x14ac:dyDescent="0.25">
      <c r="A14">
        <f t="shared" ref="A14:A25" si="2">A2+1</f>
        <v>2014</v>
      </c>
      <c r="B14">
        <f t="shared" ref="B14:B25" si="3">B2</f>
        <v>1</v>
      </c>
      <c r="C14" s="1">
        <f>'Forecasted Targets'!$N$11/12</f>
        <v>0</v>
      </c>
      <c r="D14" s="26">
        <f>1-D2</f>
        <v>0.91666666666666663</v>
      </c>
      <c r="E14" s="1">
        <f t="shared" si="1"/>
        <v>0</v>
      </c>
      <c r="F14" s="3"/>
      <c r="G14" s="3"/>
    </row>
    <row r="15" spans="1:7" customFormat="1" ht="14.45" x14ac:dyDescent="0.3">
      <c r="A15">
        <f t="shared" si="2"/>
        <v>2014</v>
      </c>
      <c r="B15">
        <f t="shared" si="3"/>
        <v>2</v>
      </c>
      <c r="C15" s="1">
        <f>'Forecasted Targets'!$N$11/12</f>
        <v>0</v>
      </c>
      <c r="D15" s="26">
        <f t="shared" ref="D15:D25" si="4">1-D3</f>
        <v>0.83333333333333337</v>
      </c>
      <c r="E15" s="1">
        <f t="shared" si="1"/>
        <v>0</v>
      </c>
      <c r="F15" s="3"/>
      <c r="G15" s="3"/>
    </row>
    <row r="16" spans="1:7" customFormat="1" ht="14.45" x14ac:dyDescent="0.3">
      <c r="A16">
        <f t="shared" si="2"/>
        <v>2014</v>
      </c>
      <c r="B16">
        <f t="shared" si="3"/>
        <v>3</v>
      </c>
      <c r="C16" s="1">
        <f>'Forecasted Targets'!$N$11/12</f>
        <v>0</v>
      </c>
      <c r="D16" s="26">
        <f t="shared" si="4"/>
        <v>0.75</v>
      </c>
      <c r="E16" s="1">
        <f t="shared" si="1"/>
        <v>0</v>
      </c>
      <c r="F16" s="3"/>
      <c r="G16" s="3"/>
    </row>
    <row r="17" spans="1:7" customFormat="1" ht="14.45" x14ac:dyDescent="0.3">
      <c r="A17">
        <f t="shared" si="2"/>
        <v>2014</v>
      </c>
      <c r="B17">
        <f t="shared" si="3"/>
        <v>4</v>
      </c>
      <c r="C17" s="1">
        <f>'Forecasted Targets'!$N$11/12</f>
        <v>0</v>
      </c>
      <c r="D17" s="26">
        <f t="shared" si="4"/>
        <v>0.66666666666666674</v>
      </c>
      <c r="E17" s="1">
        <f t="shared" si="1"/>
        <v>0</v>
      </c>
      <c r="F17" s="3"/>
      <c r="G17" s="3"/>
    </row>
    <row r="18" spans="1:7" customFormat="1" ht="14.45" x14ac:dyDescent="0.3">
      <c r="A18">
        <f t="shared" si="2"/>
        <v>2014</v>
      </c>
      <c r="B18">
        <f t="shared" si="3"/>
        <v>5</v>
      </c>
      <c r="C18" s="1">
        <f>'Forecasted Targets'!$N$11/12</f>
        <v>0</v>
      </c>
      <c r="D18" s="26">
        <f t="shared" si="4"/>
        <v>0.58333333333333326</v>
      </c>
      <c r="E18" s="1">
        <f t="shared" si="1"/>
        <v>0</v>
      </c>
      <c r="F18" s="3"/>
      <c r="G18" s="3"/>
    </row>
    <row r="19" spans="1:7" customFormat="1" x14ac:dyDescent="0.25">
      <c r="A19">
        <f t="shared" si="2"/>
        <v>2014</v>
      </c>
      <c r="B19">
        <f t="shared" si="3"/>
        <v>6</v>
      </c>
      <c r="C19" s="1">
        <f>'Forecasted Targets'!$N$11/12</f>
        <v>0</v>
      </c>
      <c r="D19" s="26">
        <f t="shared" si="4"/>
        <v>0.5</v>
      </c>
      <c r="E19" s="1">
        <f t="shared" si="1"/>
        <v>0</v>
      </c>
      <c r="F19" s="3"/>
      <c r="G19" s="3"/>
    </row>
    <row r="20" spans="1:7" customFormat="1" x14ac:dyDescent="0.25">
      <c r="A20">
        <f t="shared" si="2"/>
        <v>2014</v>
      </c>
      <c r="B20">
        <f t="shared" si="3"/>
        <v>7</v>
      </c>
      <c r="C20" s="1">
        <f>'Forecasted Targets'!$N$11/12</f>
        <v>0</v>
      </c>
      <c r="D20" s="26">
        <f t="shared" si="4"/>
        <v>0.41666666666666663</v>
      </c>
      <c r="E20" s="1">
        <f t="shared" si="1"/>
        <v>0</v>
      </c>
      <c r="F20" s="3"/>
      <c r="G20" s="3"/>
    </row>
    <row r="21" spans="1:7" customFormat="1" x14ac:dyDescent="0.25">
      <c r="A21">
        <f t="shared" si="2"/>
        <v>2014</v>
      </c>
      <c r="B21">
        <f t="shared" si="3"/>
        <v>8</v>
      </c>
      <c r="C21" s="1">
        <f>'Forecasted Targets'!$N$11/12</f>
        <v>0</v>
      </c>
      <c r="D21" s="26">
        <f t="shared" si="4"/>
        <v>0.33333333333333337</v>
      </c>
      <c r="E21" s="1">
        <f t="shared" si="1"/>
        <v>0</v>
      </c>
      <c r="F21" s="3"/>
      <c r="G21" s="3"/>
    </row>
    <row r="22" spans="1:7" customFormat="1" x14ac:dyDescent="0.25">
      <c r="A22">
        <f t="shared" si="2"/>
        <v>2014</v>
      </c>
      <c r="B22">
        <f t="shared" si="3"/>
        <v>9</v>
      </c>
      <c r="C22" s="1">
        <f>'Forecasted Targets'!$N$11/12</f>
        <v>0</v>
      </c>
      <c r="D22" s="26">
        <f t="shared" si="4"/>
        <v>0.25</v>
      </c>
      <c r="E22" s="1">
        <f t="shared" si="1"/>
        <v>0</v>
      </c>
      <c r="F22" s="3"/>
      <c r="G22" s="3"/>
    </row>
    <row r="23" spans="1:7" customFormat="1" x14ac:dyDescent="0.25">
      <c r="A23">
        <f t="shared" si="2"/>
        <v>2014</v>
      </c>
      <c r="B23">
        <f t="shared" si="3"/>
        <v>10</v>
      </c>
      <c r="C23" s="1">
        <f>'Forecasted Targets'!$N$11/12</f>
        <v>0</v>
      </c>
      <c r="D23" s="26">
        <f t="shared" si="4"/>
        <v>0.16666666666666663</v>
      </c>
      <c r="E23" s="1">
        <f t="shared" si="1"/>
        <v>0</v>
      </c>
      <c r="F23" s="3"/>
      <c r="G23" s="3"/>
    </row>
    <row r="24" spans="1:7" customFormat="1" x14ac:dyDescent="0.25">
      <c r="A24">
        <f t="shared" si="2"/>
        <v>2014</v>
      </c>
      <c r="B24">
        <f t="shared" si="3"/>
        <v>11</v>
      </c>
      <c r="C24" s="1">
        <f>'Forecasted Targets'!$N$11/12</f>
        <v>0</v>
      </c>
      <c r="D24" s="26">
        <f t="shared" si="4"/>
        <v>8.333333333333337E-2</v>
      </c>
      <c r="E24" s="1">
        <f t="shared" si="1"/>
        <v>0</v>
      </c>
      <c r="F24" s="3"/>
      <c r="G24" s="3"/>
    </row>
    <row r="25" spans="1:7" customFormat="1" x14ac:dyDescent="0.25">
      <c r="A25">
        <f t="shared" si="2"/>
        <v>2014</v>
      </c>
      <c r="B25">
        <f t="shared" si="3"/>
        <v>12</v>
      </c>
      <c r="C25" s="1">
        <f>'Forecasted Targets'!$N$11/12</f>
        <v>0</v>
      </c>
      <c r="D25" s="26">
        <f t="shared" si="4"/>
        <v>0</v>
      </c>
      <c r="E25" s="1">
        <f t="shared" si="1"/>
        <v>0</v>
      </c>
      <c r="F25" s="3"/>
      <c r="G25" s="3"/>
    </row>
    <row r="26" spans="1:7" customFormat="1" x14ac:dyDescent="0.25">
      <c r="C26" s="1"/>
      <c r="D26" s="23"/>
      <c r="E26" s="23"/>
      <c r="F26" s="23"/>
      <c r="G26" s="23"/>
    </row>
    <row r="27" spans="1:7" customFormat="1" x14ac:dyDescent="0.25">
      <c r="C27" s="1"/>
      <c r="D27" s="23"/>
      <c r="E27" s="23"/>
      <c r="F27" s="23"/>
      <c r="G27" s="23"/>
    </row>
    <row r="28" spans="1:7" customFormat="1" x14ac:dyDescent="0.25">
      <c r="C28" s="1"/>
      <c r="D28" s="23"/>
      <c r="E28" s="23"/>
      <c r="F28" s="23"/>
      <c r="G28" s="23"/>
    </row>
    <row r="29" spans="1:7" customFormat="1" x14ac:dyDescent="0.25">
      <c r="C29" s="1"/>
      <c r="D29" s="23"/>
      <c r="E29" s="23"/>
      <c r="F29" s="23"/>
      <c r="G29" s="23"/>
    </row>
    <row r="30" spans="1:7" customFormat="1" x14ac:dyDescent="0.25">
      <c r="C30" s="1"/>
      <c r="D30" s="23"/>
      <c r="E30" s="23"/>
      <c r="F30" s="23"/>
      <c r="G30" s="23"/>
    </row>
    <row r="31" spans="1:7" customFormat="1" x14ac:dyDescent="0.25">
      <c r="C31" s="1"/>
      <c r="D31" s="23"/>
      <c r="E31" s="23"/>
      <c r="F31" s="23"/>
      <c r="G31" s="23"/>
    </row>
    <row r="32" spans="1:7" customFormat="1" x14ac:dyDescent="0.25">
      <c r="C32" s="1"/>
      <c r="D32" s="23"/>
      <c r="E32" s="23"/>
      <c r="F32" s="23"/>
      <c r="G32" s="23"/>
    </row>
    <row r="33" spans="3:3" customFormat="1" x14ac:dyDescent="0.25">
      <c r="C33" s="1"/>
    </row>
    <row r="34" spans="3:3" customFormat="1" x14ac:dyDescent="0.25">
      <c r="C34" s="1"/>
    </row>
    <row r="35" spans="3:3" customFormat="1" x14ac:dyDescent="0.25">
      <c r="C35" s="1"/>
    </row>
    <row r="36" spans="3:3" customFormat="1" x14ac:dyDescent="0.25">
      <c r="C36" s="1"/>
    </row>
    <row r="37" spans="3:3" customFormat="1" x14ac:dyDescent="0.25">
      <c r="C37" s="1"/>
    </row>
    <row r="38" spans="3:3" customFormat="1" x14ac:dyDescent="0.25">
      <c r="C38" s="1"/>
    </row>
    <row r="39" spans="3:3" customFormat="1" x14ac:dyDescent="0.25">
      <c r="C39" s="1"/>
    </row>
    <row r="40" spans="3:3" customFormat="1" x14ac:dyDescent="0.25">
      <c r="C40" s="1"/>
    </row>
    <row r="41" spans="3:3" customFormat="1" x14ac:dyDescent="0.25">
      <c r="C41" s="1"/>
    </row>
    <row r="42" spans="3:3" customFormat="1" x14ac:dyDescent="0.25">
      <c r="C42" s="1"/>
    </row>
    <row r="43" spans="3:3" customFormat="1" x14ac:dyDescent="0.25">
      <c r="C43" s="1"/>
    </row>
    <row r="44" spans="3:3" customFormat="1" x14ac:dyDescent="0.25">
      <c r="C44" s="1"/>
    </row>
    <row r="45" spans="3:3" customFormat="1" x14ac:dyDescent="0.25">
      <c r="C45" s="1"/>
    </row>
    <row r="46" spans="3:3" customFormat="1" x14ac:dyDescent="0.25">
      <c r="C46" s="1"/>
    </row>
    <row r="47" spans="3:3" customFormat="1" x14ac:dyDescent="0.25">
      <c r="C47" s="1"/>
    </row>
    <row r="48" spans="3:3" customFormat="1" x14ac:dyDescent="0.25">
      <c r="C48" s="1"/>
    </row>
    <row r="49" spans="3:3" customFormat="1" x14ac:dyDescent="0.25">
      <c r="C49" s="1"/>
    </row>
    <row r="50" spans="3:3" customFormat="1" x14ac:dyDescent="0.25">
      <c r="C50" s="1"/>
    </row>
    <row r="51" spans="3:3" customFormat="1" x14ac:dyDescent="0.25">
      <c r="C51" s="1"/>
    </row>
    <row r="52" spans="3:3" customFormat="1" x14ac:dyDescent="0.25">
      <c r="C52" s="1"/>
    </row>
    <row r="53" spans="3:3" customFormat="1" x14ac:dyDescent="0.25">
      <c r="C53" s="1"/>
    </row>
    <row r="54" spans="3:3" customFormat="1" x14ac:dyDescent="0.25">
      <c r="C54" s="1"/>
    </row>
    <row r="55" spans="3:3" customFormat="1" x14ac:dyDescent="0.25">
      <c r="C55" s="1"/>
    </row>
    <row r="56" spans="3:3" customFormat="1" x14ac:dyDescent="0.25">
      <c r="C56" s="1"/>
    </row>
    <row r="57" spans="3:3" customFormat="1" x14ac:dyDescent="0.25">
      <c r="C57" s="1"/>
    </row>
    <row r="58" spans="3:3" customFormat="1" x14ac:dyDescent="0.25">
      <c r="C58" s="1"/>
    </row>
    <row r="59" spans="3:3" customFormat="1" x14ac:dyDescent="0.25">
      <c r="C59" s="1"/>
    </row>
    <row r="60" spans="3:3" customFormat="1" x14ac:dyDescent="0.25">
      <c r="C60" s="1"/>
    </row>
    <row r="61" spans="3:3" customFormat="1" x14ac:dyDescent="0.25">
      <c r="C61" s="1"/>
    </row>
    <row r="62" spans="3:3" customFormat="1" x14ac:dyDescent="0.25">
      <c r="C62" s="1"/>
    </row>
    <row r="63" spans="3:3" customFormat="1" x14ac:dyDescent="0.25">
      <c r="C63" s="1"/>
    </row>
    <row r="64" spans="3:3" customFormat="1" x14ac:dyDescent="0.25">
      <c r="C64" s="1"/>
    </row>
    <row r="65" spans="3:3" customFormat="1" x14ac:dyDescent="0.25">
      <c r="C65" s="1"/>
    </row>
    <row r="66" spans="3:3" customFormat="1" x14ac:dyDescent="0.25">
      <c r="C66" s="1"/>
    </row>
    <row r="67" spans="3:3" customFormat="1" x14ac:dyDescent="0.25">
      <c r="C67" s="1"/>
    </row>
    <row r="68" spans="3:3" customFormat="1" x14ac:dyDescent="0.25">
      <c r="C68" s="1"/>
    </row>
    <row r="69" spans="3:3" customFormat="1" x14ac:dyDescent="0.25">
      <c r="C69" s="1"/>
    </row>
    <row r="70" spans="3:3" customFormat="1" x14ac:dyDescent="0.25">
      <c r="C70" s="1"/>
    </row>
    <row r="71" spans="3:3" customFormat="1" x14ac:dyDescent="0.25">
      <c r="C71" s="1"/>
    </row>
    <row r="72" spans="3:3" customFormat="1" x14ac:dyDescent="0.25">
      <c r="C7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2"/>
  <sheetViews>
    <sheetView workbookViewId="0">
      <selection activeCell="I4" sqref="I4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6" width="9.140625" style="23"/>
    <col min="7" max="7" width="20.28515625" style="23" customWidth="1"/>
    <col min="8" max="8" width="14" style="23" bestFit="1" customWidth="1"/>
    <col min="9" max="10" width="10.5703125" style="23" bestFit="1" customWidth="1"/>
    <col min="11" max="25" width="9.140625" style="23"/>
  </cols>
  <sheetData>
    <row r="1" spans="1:11" customFormat="1" x14ac:dyDescent="0.25">
      <c r="A1" t="s">
        <v>27</v>
      </c>
      <c r="B1" t="s">
        <v>28</v>
      </c>
      <c r="C1" t="s">
        <v>29</v>
      </c>
      <c r="D1" s="23"/>
      <c r="E1" s="23"/>
      <c r="F1" s="23"/>
      <c r="G1" s="23"/>
      <c r="H1" t="s">
        <v>132</v>
      </c>
      <c r="I1" s="23" t="s">
        <v>135</v>
      </c>
    </row>
    <row r="2" spans="1:11" customFormat="1" x14ac:dyDescent="0.25">
      <c r="A2">
        <v>2014</v>
      </c>
      <c r="B2">
        <v>1</v>
      </c>
      <c r="C2" s="1">
        <f>+$I$6</f>
        <v>2174.3589743589746</v>
      </c>
      <c r="D2" s="24">
        <f>B2/12</f>
        <v>8.3333333333333329E-2</v>
      </c>
      <c r="E2" s="1">
        <f>C2*D2</f>
        <v>181.19658119658121</v>
      </c>
      <c r="F2" s="23"/>
      <c r="G2" s="23"/>
      <c r="H2" s="1">
        <f>+'Forecasted Targets'!N12</f>
        <v>28266.666666666672</v>
      </c>
      <c r="I2" s="155">
        <f>H2/2</f>
        <v>14133.333333333336</v>
      </c>
      <c r="J2" s="156"/>
      <c r="K2" s="23"/>
    </row>
    <row r="3" spans="1:11" customFormat="1" x14ac:dyDescent="0.25">
      <c r="A3">
        <v>2014</v>
      </c>
      <c r="B3">
        <v>2</v>
      </c>
      <c r="C3" s="1">
        <f t="shared" ref="C3:C13" si="0">+$I$6</f>
        <v>2174.3589743589746</v>
      </c>
      <c r="D3" s="24">
        <f t="shared" ref="D3:D13" si="1">B3/12</f>
        <v>0.16666666666666666</v>
      </c>
      <c r="E3" s="1">
        <f t="shared" ref="E3:E25" si="2">C3*D3</f>
        <v>362.39316239316241</v>
      </c>
      <c r="F3" s="3"/>
      <c r="G3" s="3"/>
      <c r="H3" s="1">
        <v>12</v>
      </c>
      <c r="I3" s="1">
        <v>12</v>
      </c>
      <c r="J3" s="1"/>
    </row>
    <row r="4" spans="1:11" customFormat="1" x14ac:dyDescent="0.25">
      <c r="A4">
        <v>2014</v>
      </c>
      <c r="B4">
        <v>3</v>
      </c>
      <c r="C4" s="1">
        <f t="shared" si="0"/>
        <v>2174.3589743589746</v>
      </c>
      <c r="D4" s="24">
        <f t="shared" si="1"/>
        <v>0.25</v>
      </c>
      <c r="E4" s="1">
        <f t="shared" si="2"/>
        <v>543.58974358974365</v>
      </c>
      <c r="F4" s="3"/>
      <c r="G4" s="3"/>
      <c r="H4" s="1">
        <f>H2*H3</f>
        <v>339200.00000000006</v>
      </c>
      <c r="I4" s="1">
        <f>I2*I3</f>
        <v>169600.00000000003</v>
      </c>
      <c r="J4" s="1"/>
    </row>
    <row r="5" spans="1:11" customFormat="1" x14ac:dyDescent="0.25">
      <c r="A5">
        <v>2014</v>
      </c>
      <c r="B5">
        <v>4</v>
      </c>
      <c r="C5" s="1">
        <f t="shared" si="0"/>
        <v>2174.3589743589746</v>
      </c>
      <c r="D5" s="24">
        <f t="shared" si="1"/>
        <v>0.33333333333333331</v>
      </c>
      <c r="E5" s="1">
        <f t="shared" si="2"/>
        <v>724.78632478632483</v>
      </c>
      <c r="F5" s="3"/>
      <c r="G5" s="3"/>
      <c r="H5" s="23">
        <v>78</v>
      </c>
      <c r="I5" s="23">
        <v>78</v>
      </c>
    </row>
    <row r="6" spans="1:11" customFormat="1" x14ac:dyDescent="0.25">
      <c r="A6">
        <v>2014</v>
      </c>
      <c r="B6">
        <v>5</v>
      </c>
      <c r="C6" s="1">
        <f t="shared" si="0"/>
        <v>2174.3589743589746</v>
      </c>
      <c r="D6" s="24">
        <f t="shared" si="1"/>
        <v>0.41666666666666669</v>
      </c>
      <c r="E6" s="1">
        <f t="shared" si="2"/>
        <v>905.98290598290612</v>
      </c>
      <c r="F6" s="3"/>
      <c r="G6" s="3"/>
      <c r="H6" s="1">
        <f>H4/H5</f>
        <v>4348.7179487179492</v>
      </c>
      <c r="I6" s="187">
        <f>I4/I5</f>
        <v>2174.3589743589746</v>
      </c>
      <c r="J6" s="1"/>
    </row>
    <row r="7" spans="1:11" customFormat="1" x14ac:dyDescent="0.25">
      <c r="A7">
        <v>2014</v>
      </c>
      <c r="B7">
        <v>6</v>
      </c>
      <c r="C7" s="1">
        <f t="shared" si="0"/>
        <v>2174.3589743589746</v>
      </c>
      <c r="D7" s="24">
        <f t="shared" si="1"/>
        <v>0.5</v>
      </c>
      <c r="E7" s="1">
        <f t="shared" si="2"/>
        <v>1087.1794871794873</v>
      </c>
      <c r="F7" s="3"/>
      <c r="G7" s="3"/>
      <c r="H7" s="23"/>
      <c r="I7" s="23"/>
    </row>
    <row r="8" spans="1:11" customFormat="1" x14ac:dyDescent="0.25">
      <c r="A8">
        <v>2014</v>
      </c>
      <c r="B8">
        <v>7</v>
      </c>
      <c r="C8" s="1">
        <f t="shared" si="0"/>
        <v>2174.3589743589746</v>
      </c>
      <c r="D8" s="24">
        <f t="shared" si="1"/>
        <v>0.58333333333333337</v>
      </c>
      <c r="E8" s="1">
        <f t="shared" si="2"/>
        <v>1268.3760683760686</v>
      </c>
      <c r="F8" s="3"/>
      <c r="G8" s="3"/>
      <c r="H8" s="23"/>
      <c r="I8" s="23"/>
    </row>
    <row r="9" spans="1:11" customFormat="1" x14ac:dyDescent="0.25">
      <c r="A9">
        <v>2014</v>
      </c>
      <c r="B9">
        <v>8</v>
      </c>
      <c r="C9" s="1">
        <f t="shared" si="0"/>
        <v>2174.3589743589746</v>
      </c>
      <c r="D9" s="24">
        <f t="shared" si="1"/>
        <v>0.66666666666666663</v>
      </c>
      <c r="E9" s="1">
        <f t="shared" si="2"/>
        <v>1449.5726495726497</v>
      </c>
      <c r="F9" s="3"/>
      <c r="G9" s="3"/>
      <c r="H9" s="23"/>
      <c r="I9" s="23"/>
    </row>
    <row r="10" spans="1:11" customFormat="1" x14ac:dyDescent="0.25">
      <c r="A10">
        <v>2014</v>
      </c>
      <c r="B10">
        <v>9</v>
      </c>
      <c r="C10" s="1">
        <f t="shared" si="0"/>
        <v>2174.3589743589746</v>
      </c>
      <c r="D10" s="24">
        <f t="shared" si="1"/>
        <v>0.75</v>
      </c>
      <c r="E10" s="1">
        <f t="shared" si="2"/>
        <v>1630.7692307692309</v>
      </c>
      <c r="F10" s="3"/>
      <c r="G10" s="3"/>
      <c r="H10" s="23"/>
      <c r="I10" s="23"/>
    </row>
    <row r="11" spans="1:11" customFormat="1" x14ac:dyDescent="0.25">
      <c r="A11">
        <v>2014</v>
      </c>
      <c r="B11">
        <v>10</v>
      </c>
      <c r="C11" s="1">
        <f t="shared" si="0"/>
        <v>2174.3589743589746</v>
      </c>
      <c r="D11" s="24">
        <f t="shared" si="1"/>
        <v>0.83333333333333337</v>
      </c>
      <c r="E11" s="1">
        <f t="shared" si="2"/>
        <v>1811.9658119658122</v>
      </c>
      <c r="F11" s="3"/>
      <c r="G11" s="3"/>
      <c r="H11" s="1"/>
      <c r="I11" s="1"/>
    </row>
    <row r="12" spans="1:11" customFormat="1" x14ac:dyDescent="0.25">
      <c r="A12">
        <v>2014</v>
      </c>
      <c r="B12">
        <v>11</v>
      </c>
      <c r="C12" s="1">
        <f t="shared" si="0"/>
        <v>2174.3589743589746</v>
      </c>
      <c r="D12" s="24">
        <f t="shared" si="1"/>
        <v>0.91666666666666663</v>
      </c>
      <c r="E12" s="1">
        <f t="shared" si="2"/>
        <v>1993.1623931623933</v>
      </c>
      <c r="F12" s="3"/>
      <c r="G12" s="3"/>
      <c r="H12" s="23"/>
      <c r="I12" s="23"/>
    </row>
    <row r="13" spans="1:11" customFormat="1" x14ac:dyDescent="0.25">
      <c r="A13">
        <v>2014</v>
      </c>
      <c r="B13">
        <v>12</v>
      </c>
      <c r="C13" s="1">
        <f t="shared" si="0"/>
        <v>2174.3589743589746</v>
      </c>
      <c r="D13" s="24">
        <f t="shared" si="1"/>
        <v>1</v>
      </c>
      <c r="E13" s="1">
        <f t="shared" si="2"/>
        <v>2174.3589743589746</v>
      </c>
      <c r="F13" s="3"/>
      <c r="G13" s="3">
        <f>SUM(C2:C13)</f>
        <v>26092.307692307702</v>
      </c>
      <c r="H13" s="3">
        <f>SUM(D2:D13)</f>
        <v>6.5</v>
      </c>
      <c r="I13" s="3">
        <f>SUM(E2:E13)</f>
        <v>14133.333333333334</v>
      </c>
    </row>
    <row r="14" spans="1:11" customFormat="1" ht="14.45" x14ac:dyDescent="0.3">
      <c r="A14">
        <f t="shared" ref="A14:A25" si="3">A2+1</f>
        <v>2015</v>
      </c>
      <c r="B14">
        <f t="shared" ref="B14:B25" si="4">B2</f>
        <v>1</v>
      </c>
      <c r="C14" s="1">
        <f>$H$2/12</f>
        <v>2355.5555555555561</v>
      </c>
      <c r="D14" s="24">
        <v>1</v>
      </c>
      <c r="E14" s="1">
        <f t="shared" si="2"/>
        <v>2355.5555555555561</v>
      </c>
      <c r="F14" s="3"/>
      <c r="G14" s="3"/>
      <c r="H14" s="23"/>
      <c r="I14" s="23"/>
    </row>
    <row r="15" spans="1:11" customFormat="1" ht="14.45" x14ac:dyDescent="0.3">
      <c r="A15">
        <f t="shared" si="3"/>
        <v>2015</v>
      </c>
      <c r="B15">
        <f t="shared" si="4"/>
        <v>2</v>
      </c>
      <c r="C15" s="1">
        <f>$H$2/12</f>
        <v>2355.5555555555561</v>
      </c>
      <c r="D15" s="24">
        <v>1</v>
      </c>
      <c r="E15" s="1">
        <f t="shared" si="2"/>
        <v>2355.5555555555561</v>
      </c>
      <c r="F15" s="3"/>
      <c r="G15" s="3"/>
      <c r="H15" s="23"/>
      <c r="I15" s="23"/>
    </row>
    <row r="16" spans="1:11" customFormat="1" ht="14.45" x14ac:dyDescent="0.3">
      <c r="A16">
        <f t="shared" si="3"/>
        <v>2015</v>
      </c>
      <c r="B16">
        <f t="shared" si="4"/>
        <v>3</v>
      </c>
      <c r="C16" s="1">
        <f t="shared" ref="C16:C25" si="5">$H$2/12</f>
        <v>2355.5555555555561</v>
      </c>
      <c r="D16" s="24">
        <v>1</v>
      </c>
      <c r="E16" s="1">
        <f t="shared" si="2"/>
        <v>2355.5555555555561</v>
      </c>
      <c r="F16" s="3"/>
      <c r="G16" s="3"/>
      <c r="H16" s="23"/>
      <c r="I16" s="23"/>
    </row>
    <row r="17" spans="1:9" customFormat="1" ht="14.45" x14ac:dyDescent="0.3">
      <c r="A17">
        <f t="shared" si="3"/>
        <v>2015</v>
      </c>
      <c r="B17">
        <f t="shared" si="4"/>
        <v>4</v>
      </c>
      <c r="C17" s="1">
        <f t="shared" si="5"/>
        <v>2355.5555555555561</v>
      </c>
      <c r="D17" s="24">
        <v>1</v>
      </c>
      <c r="E17" s="1">
        <f t="shared" si="2"/>
        <v>2355.5555555555561</v>
      </c>
      <c r="F17" s="3"/>
      <c r="G17" s="3"/>
      <c r="H17" s="23"/>
      <c r="I17" s="23"/>
    </row>
    <row r="18" spans="1:9" customFormat="1" ht="14.45" x14ac:dyDescent="0.3">
      <c r="A18">
        <f t="shared" si="3"/>
        <v>2015</v>
      </c>
      <c r="B18">
        <f t="shared" si="4"/>
        <v>5</v>
      </c>
      <c r="C18" s="1">
        <f t="shared" si="5"/>
        <v>2355.5555555555561</v>
      </c>
      <c r="D18" s="24">
        <v>1</v>
      </c>
      <c r="E18" s="1">
        <f t="shared" si="2"/>
        <v>2355.5555555555561</v>
      </c>
      <c r="F18" s="3"/>
      <c r="G18" s="3"/>
      <c r="H18" s="23"/>
      <c r="I18" s="23"/>
    </row>
    <row r="19" spans="1:9" customFormat="1" x14ac:dyDescent="0.25">
      <c r="A19">
        <f t="shared" si="3"/>
        <v>2015</v>
      </c>
      <c r="B19">
        <f t="shared" si="4"/>
        <v>6</v>
      </c>
      <c r="C19" s="1">
        <f t="shared" si="5"/>
        <v>2355.5555555555561</v>
      </c>
      <c r="D19" s="24">
        <v>1</v>
      </c>
      <c r="E19" s="1">
        <f t="shared" si="2"/>
        <v>2355.5555555555561</v>
      </c>
      <c r="F19" s="3"/>
      <c r="G19" s="3"/>
      <c r="H19" s="23"/>
      <c r="I19" s="23"/>
    </row>
    <row r="20" spans="1:9" customFormat="1" x14ac:dyDescent="0.25">
      <c r="A20">
        <f t="shared" si="3"/>
        <v>2015</v>
      </c>
      <c r="B20">
        <f t="shared" si="4"/>
        <v>7</v>
      </c>
      <c r="C20" s="1">
        <f t="shared" si="5"/>
        <v>2355.5555555555561</v>
      </c>
      <c r="D20" s="24">
        <v>1</v>
      </c>
      <c r="E20" s="1">
        <f t="shared" si="2"/>
        <v>2355.5555555555561</v>
      </c>
      <c r="F20" s="3"/>
      <c r="G20" s="3"/>
      <c r="H20" s="23"/>
      <c r="I20" s="23"/>
    </row>
    <row r="21" spans="1:9" customFormat="1" x14ac:dyDescent="0.25">
      <c r="A21">
        <f t="shared" si="3"/>
        <v>2015</v>
      </c>
      <c r="B21">
        <f t="shared" si="4"/>
        <v>8</v>
      </c>
      <c r="C21" s="1">
        <f t="shared" si="5"/>
        <v>2355.5555555555561</v>
      </c>
      <c r="D21" s="24">
        <v>1</v>
      </c>
      <c r="E21" s="1">
        <f t="shared" si="2"/>
        <v>2355.5555555555561</v>
      </c>
      <c r="F21" s="3"/>
      <c r="G21" s="3"/>
      <c r="H21" s="23"/>
      <c r="I21" s="23"/>
    </row>
    <row r="22" spans="1:9" customFormat="1" x14ac:dyDescent="0.25">
      <c r="A22">
        <f t="shared" si="3"/>
        <v>2015</v>
      </c>
      <c r="B22">
        <f t="shared" si="4"/>
        <v>9</v>
      </c>
      <c r="C22" s="1">
        <f t="shared" si="5"/>
        <v>2355.5555555555561</v>
      </c>
      <c r="D22" s="24">
        <v>1</v>
      </c>
      <c r="E22" s="1">
        <f t="shared" si="2"/>
        <v>2355.5555555555561</v>
      </c>
      <c r="F22" s="3"/>
      <c r="G22" s="3"/>
      <c r="H22" s="23"/>
      <c r="I22" s="23"/>
    </row>
    <row r="23" spans="1:9" customFormat="1" x14ac:dyDescent="0.25">
      <c r="A23">
        <f t="shared" si="3"/>
        <v>2015</v>
      </c>
      <c r="B23">
        <f t="shared" si="4"/>
        <v>10</v>
      </c>
      <c r="C23" s="1">
        <f t="shared" si="5"/>
        <v>2355.5555555555561</v>
      </c>
      <c r="D23" s="24">
        <v>1</v>
      </c>
      <c r="E23" s="1">
        <f t="shared" si="2"/>
        <v>2355.5555555555561</v>
      </c>
      <c r="F23" s="3"/>
      <c r="G23" s="3"/>
      <c r="H23" s="23"/>
      <c r="I23" s="23"/>
    </row>
    <row r="24" spans="1:9" customFormat="1" x14ac:dyDescent="0.25">
      <c r="A24">
        <f t="shared" si="3"/>
        <v>2015</v>
      </c>
      <c r="B24">
        <f t="shared" si="4"/>
        <v>11</v>
      </c>
      <c r="C24" s="1">
        <f t="shared" si="5"/>
        <v>2355.5555555555561</v>
      </c>
      <c r="D24" s="24">
        <v>1</v>
      </c>
      <c r="E24" s="1">
        <f t="shared" si="2"/>
        <v>2355.5555555555561</v>
      </c>
      <c r="F24" s="3"/>
      <c r="G24" s="3"/>
      <c r="H24" s="23"/>
      <c r="I24" s="23"/>
    </row>
    <row r="25" spans="1:9" customFormat="1" x14ac:dyDescent="0.25">
      <c r="A25">
        <f t="shared" si="3"/>
        <v>2015</v>
      </c>
      <c r="B25">
        <f t="shared" si="4"/>
        <v>12</v>
      </c>
      <c r="C25" s="1">
        <f t="shared" si="5"/>
        <v>2355.5555555555561</v>
      </c>
      <c r="D25" s="24">
        <v>1</v>
      </c>
      <c r="E25" s="1">
        <f t="shared" si="2"/>
        <v>2355.5555555555561</v>
      </c>
      <c r="F25" s="3"/>
      <c r="G25" s="3">
        <f>SUM(C14:C25)</f>
        <v>28266.666666666668</v>
      </c>
      <c r="H25" s="3">
        <f>SUM(D14:D25)</f>
        <v>12</v>
      </c>
      <c r="I25" s="3">
        <f>SUM(E14:E25)</f>
        <v>28266.666666666668</v>
      </c>
    </row>
    <row r="26" spans="1:9" customFormat="1" x14ac:dyDescent="0.25">
      <c r="C26" s="1"/>
      <c r="D26" s="23"/>
      <c r="E26" s="23"/>
      <c r="F26" s="23"/>
      <c r="G26" s="23"/>
    </row>
    <row r="27" spans="1:9" customFormat="1" x14ac:dyDescent="0.25">
      <c r="C27" s="1"/>
      <c r="D27" s="23"/>
      <c r="E27" s="23"/>
      <c r="F27" s="23"/>
      <c r="G27" s="23"/>
    </row>
    <row r="28" spans="1:9" customFormat="1" x14ac:dyDescent="0.25">
      <c r="C28" s="1"/>
      <c r="D28" s="23"/>
      <c r="E28" s="23"/>
      <c r="F28" s="23"/>
      <c r="G28" s="23"/>
    </row>
    <row r="29" spans="1:9" customFormat="1" x14ac:dyDescent="0.25">
      <c r="C29" s="1"/>
      <c r="D29" s="23"/>
      <c r="E29" s="23"/>
      <c r="F29" s="23"/>
      <c r="G29" s="23"/>
    </row>
    <row r="30" spans="1:9" customFormat="1" x14ac:dyDescent="0.25">
      <c r="C30" s="1"/>
      <c r="D30" s="23"/>
      <c r="E30" s="23"/>
      <c r="F30" s="23"/>
      <c r="G30" s="23"/>
    </row>
    <row r="31" spans="1:9" customFormat="1" x14ac:dyDescent="0.25">
      <c r="C31" s="1"/>
      <c r="D31" s="23"/>
      <c r="E31" s="23"/>
      <c r="F31" s="23"/>
      <c r="G31" s="23"/>
    </row>
    <row r="32" spans="1:9" customFormat="1" x14ac:dyDescent="0.25">
      <c r="C32" s="1"/>
      <c r="D32" s="23"/>
      <c r="E32" s="23"/>
      <c r="F32" s="23"/>
      <c r="G32" s="23"/>
    </row>
    <row r="33" spans="3:3" customFormat="1" x14ac:dyDescent="0.25">
      <c r="C33" s="1"/>
    </row>
    <row r="34" spans="3:3" customFormat="1" x14ac:dyDescent="0.25">
      <c r="C34" s="1"/>
    </row>
    <row r="35" spans="3:3" customFormat="1" x14ac:dyDescent="0.25">
      <c r="C35" s="1"/>
    </row>
    <row r="36" spans="3:3" customFormat="1" x14ac:dyDescent="0.25">
      <c r="C36" s="1"/>
    </row>
    <row r="37" spans="3:3" customFormat="1" x14ac:dyDescent="0.25">
      <c r="C37" s="1"/>
    </row>
    <row r="38" spans="3:3" customFormat="1" x14ac:dyDescent="0.25">
      <c r="C38" s="1"/>
    </row>
    <row r="39" spans="3:3" customFormat="1" x14ac:dyDescent="0.25">
      <c r="C39" s="1"/>
    </row>
    <row r="40" spans="3:3" customFormat="1" x14ac:dyDescent="0.25">
      <c r="C40" s="1"/>
    </row>
    <row r="41" spans="3:3" customFormat="1" x14ac:dyDescent="0.25">
      <c r="C41" s="1"/>
    </row>
    <row r="42" spans="3:3" customFormat="1" x14ac:dyDescent="0.25">
      <c r="C42" s="1"/>
    </row>
    <row r="43" spans="3:3" customFormat="1" x14ac:dyDescent="0.25">
      <c r="C43" s="1"/>
    </row>
    <row r="44" spans="3:3" customFormat="1" x14ac:dyDescent="0.25">
      <c r="C44" s="1"/>
    </row>
    <row r="45" spans="3:3" customFormat="1" x14ac:dyDescent="0.25">
      <c r="C45" s="1"/>
    </row>
    <row r="46" spans="3:3" customFormat="1" x14ac:dyDescent="0.25">
      <c r="C46" s="1"/>
    </row>
    <row r="47" spans="3:3" customFormat="1" x14ac:dyDescent="0.25">
      <c r="C47" s="1"/>
    </row>
    <row r="48" spans="3:3" customFormat="1" x14ac:dyDescent="0.25">
      <c r="C48" s="1"/>
    </row>
    <row r="49" spans="3:3" customFormat="1" x14ac:dyDescent="0.25">
      <c r="C49" s="1"/>
    </row>
    <row r="50" spans="3:3" customFormat="1" x14ac:dyDescent="0.25">
      <c r="C50" s="1"/>
    </row>
    <row r="51" spans="3:3" customFormat="1" x14ac:dyDescent="0.25">
      <c r="C51" s="1"/>
    </row>
    <row r="52" spans="3:3" customFormat="1" x14ac:dyDescent="0.25">
      <c r="C52" s="1"/>
    </row>
    <row r="53" spans="3:3" customFormat="1" x14ac:dyDescent="0.25">
      <c r="C53" s="1"/>
    </row>
    <row r="54" spans="3:3" customFormat="1" x14ac:dyDescent="0.25">
      <c r="C54" s="1"/>
    </row>
    <row r="55" spans="3:3" customFormat="1" x14ac:dyDescent="0.25">
      <c r="C55" s="1"/>
    </row>
    <row r="56" spans="3:3" customFormat="1" x14ac:dyDescent="0.25">
      <c r="C56" s="1"/>
    </row>
    <row r="57" spans="3:3" customFormat="1" x14ac:dyDescent="0.25">
      <c r="C57" s="1"/>
    </row>
    <row r="58" spans="3:3" customFormat="1" x14ac:dyDescent="0.25">
      <c r="C58" s="1"/>
    </row>
    <row r="59" spans="3:3" customFormat="1" x14ac:dyDescent="0.25">
      <c r="C59" s="1"/>
    </row>
    <row r="60" spans="3:3" customFormat="1" x14ac:dyDescent="0.25">
      <c r="C60" s="1"/>
    </row>
    <row r="61" spans="3:3" customFormat="1" x14ac:dyDescent="0.25">
      <c r="C61" s="1"/>
    </row>
    <row r="62" spans="3:3" customFormat="1" x14ac:dyDescent="0.25">
      <c r="C62" s="1"/>
    </row>
    <row r="63" spans="3:3" customFormat="1" x14ac:dyDescent="0.25">
      <c r="C63" s="1"/>
    </row>
    <row r="64" spans="3:3" customFormat="1" x14ac:dyDescent="0.25">
      <c r="C64" s="1"/>
    </row>
    <row r="65" spans="3:3" customFormat="1" x14ac:dyDescent="0.25">
      <c r="C65" s="1"/>
    </row>
    <row r="66" spans="3:3" customFormat="1" x14ac:dyDescent="0.25">
      <c r="C66" s="1"/>
    </row>
    <row r="67" spans="3:3" customFormat="1" x14ac:dyDescent="0.25">
      <c r="C67" s="1"/>
    </row>
    <row r="68" spans="3:3" customFormat="1" x14ac:dyDescent="0.25">
      <c r="C68" s="1"/>
    </row>
    <row r="69" spans="3:3" customFormat="1" x14ac:dyDescent="0.25">
      <c r="C69" s="1"/>
    </row>
    <row r="70" spans="3:3" customFormat="1" x14ac:dyDescent="0.25">
      <c r="C70" s="1"/>
    </row>
    <row r="71" spans="3:3" customFormat="1" x14ac:dyDescent="0.25">
      <c r="C71" s="1"/>
    </row>
    <row r="72" spans="3:3" customFormat="1" x14ac:dyDescent="0.25">
      <c r="C72" s="1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K10" sqref="K10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23" customWidth="1"/>
    <col min="5" max="7" width="9.140625" style="23"/>
    <col min="8" max="8" width="10.5703125" style="23" bestFit="1" customWidth="1"/>
    <col min="9" max="9" width="9.5703125" style="23" bestFit="1" customWidth="1"/>
    <col min="10" max="25" width="9.140625" style="23"/>
  </cols>
  <sheetData>
    <row r="1" spans="1:9" x14ac:dyDescent="0.25">
      <c r="A1" t="s">
        <v>27</v>
      </c>
      <c r="B1" t="s">
        <v>28</v>
      </c>
      <c r="C1" t="s">
        <v>29</v>
      </c>
      <c r="H1" s="23" t="s">
        <v>134</v>
      </c>
      <c r="I1" s="23" t="s">
        <v>135</v>
      </c>
    </row>
    <row r="2" spans="1:9" x14ac:dyDescent="0.25">
      <c r="A2">
        <v>2015</v>
      </c>
      <c r="B2">
        <v>1</v>
      </c>
      <c r="C2" s="1">
        <f>+$I$6</f>
        <v>3038.4615384615386</v>
      </c>
      <c r="D2" s="24">
        <f>B2/12</f>
        <v>8.3333333333333329E-2</v>
      </c>
      <c r="E2" s="1">
        <f>C2*D2</f>
        <v>253.2051282051282</v>
      </c>
      <c r="H2" s="1">
        <f>+'Forecasted Targets'!F13</f>
        <v>39500</v>
      </c>
      <c r="I2" s="1">
        <f>H2/2</f>
        <v>19750</v>
      </c>
    </row>
    <row r="3" spans="1:9" x14ac:dyDescent="0.25">
      <c r="A3">
        <v>2015</v>
      </c>
      <c r="B3">
        <v>2</v>
      </c>
      <c r="C3" s="1">
        <f t="shared" ref="C3:C13" si="0">+$I$6</f>
        <v>3038.4615384615386</v>
      </c>
      <c r="D3" s="24">
        <f t="shared" ref="D3:D13" si="1">B3/12</f>
        <v>0.16666666666666666</v>
      </c>
      <c r="E3" s="1">
        <f t="shared" ref="E3:E25" si="2">C3*D3</f>
        <v>506.41025641025641</v>
      </c>
      <c r="F3" s="3"/>
      <c r="G3" s="3"/>
      <c r="H3" s="1">
        <v>12</v>
      </c>
      <c r="I3" s="1">
        <v>12</v>
      </c>
    </row>
    <row r="4" spans="1:9" x14ac:dyDescent="0.25">
      <c r="A4">
        <v>2015</v>
      </c>
      <c r="B4">
        <v>3</v>
      </c>
      <c r="C4" s="1">
        <f t="shared" si="0"/>
        <v>3038.4615384615386</v>
      </c>
      <c r="D4" s="24">
        <f t="shared" si="1"/>
        <v>0.25</v>
      </c>
      <c r="E4" s="1">
        <f t="shared" si="2"/>
        <v>759.61538461538464</v>
      </c>
      <c r="F4" s="3"/>
      <c r="G4" s="3"/>
      <c r="H4" s="1">
        <f>H2*H3</f>
        <v>474000</v>
      </c>
      <c r="I4" s="1">
        <f>I2*I3</f>
        <v>237000</v>
      </c>
    </row>
    <row r="5" spans="1:9" x14ac:dyDescent="0.25">
      <c r="A5">
        <v>2015</v>
      </c>
      <c r="B5">
        <v>4</v>
      </c>
      <c r="C5" s="1">
        <f t="shared" si="0"/>
        <v>3038.4615384615386</v>
      </c>
      <c r="D5" s="24">
        <f t="shared" si="1"/>
        <v>0.33333333333333331</v>
      </c>
      <c r="E5" s="1">
        <f t="shared" si="2"/>
        <v>1012.8205128205128</v>
      </c>
      <c r="F5" s="3"/>
      <c r="G5" s="3"/>
      <c r="H5" s="23">
        <v>78</v>
      </c>
      <c r="I5" s="23">
        <v>78</v>
      </c>
    </row>
    <row r="6" spans="1:9" x14ac:dyDescent="0.25">
      <c r="A6">
        <v>2015</v>
      </c>
      <c r="B6">
        <v>5</v>
      </c>
      <c r="C6" s="1">
        <f t="shared" si="0"/>
        <v>3038.4615384615386</v>
      </c>
      <c r="D6" s="24">
        <f t="shared" si="1"/>
        <v>0.41666666666666669</v>
      </c>
      <c r="E6" s="1">
        <f t="shared" si="2"/>
        <v>1266.0256410256411</v>
      </c>
      <c r="F6" s="3"/>
      <c r="G6" s="3"/>
      <c r="H6" s="1">
        <f>H4/H5</f>
        <v>6076.9230769230771</v>
      </c>
      <c r="I6" s="187">
        <f>I4/I5</f>
        <v>3038.4615384615386</v>
      </c>
    </row>
    <row r="7" spans="1:9" x14ac:dyDescent="0.25">
      <c r="A7">
        <v>2015</v>
      </c>
      <c r="B7">
        <v>6</v>
      </c>
      <c r="C7" s="1">
        <f t="shared" si="0"/>
        <v>3038.4615384615386</v>
      </c>
      <c r="D7" s="24">
        <f t="shared" si="1"/>
        <v>0.5</v>
      </c>
      <c r="E7" s="1">
        <f t="shared" si="2"/>
        <v>1519.2307692307693</v>
      </c>
      <c r="F7" s="3"/>
      <c r="G7" s="3"/>
    </row>
    <row r="8" spans="1:9" x14ac:dyDescent="0.25">
      <c r="A8">
        <v>2015</v>
      </c>
      <c r="B8">
        <v>7</v>
      </c>
      <c r="C8" s="1">
        <f t="shared" si="0"/>
        <v>3038.4615384615386</v>
      </c>
      <c r="D8" s="24">
        <f t="shared" si="1"/>
        <v>0.58333333333333337</v>
      </c>
      <c r="E8" s="1">
        <f t="shared" si="2"/>
        <v>1772.4358974358977</v>
      </c>
      <c r="F8" s="3"/>
      <c r="G8" s="3"/>
    </row>
    <row r="9" spans="1:9" x14ac:dyDescent="0.25">
      <c r="A9">
        <v>2015</v>
      </c>
      <c r="B9">
        <v>8</v>
      </c>
      <c r="C9" s="1">
        <f t="shared" si="0"/>
        <v>3038.4615384615386</v>
      </c>
      <c r="D9" s="24">
        <f t="shared" si="1"/>
        <v>0.66666666666666663</v>
      </c>
      <c r="E9" s="1">
        <f t="shared" si="2"/>
        <v>2025.6410256410256</v>
      </c>
      <c r="F9" s="3"/>
      <c r="G9" s="3"/>
    </row>
    <row r="10" spans="1:9" x14ac:dyDescent="0.25">
      <c r="A10">
        <v>2015</v>
      </c>
      <c r="B10">
        <v>9</v>
      </c>
      <c r="C10" s="1">
        <f t="shared" si="0"/>
        <v>3038.4615384615386</v>
      </c>
      <c r="D10" s="24">
        <f t="shared" si="1"/>
        <v>0.75</v>
      </c>
      <c r="E10" s="1">
        <f t="shared" si="2"/>
        <v>2278.8461538461538</v>
      </c>
      <c r="F10" s="3"/>
      <c r="G10" s="3"/>
    </row>
    <row r="11" spans="1:9" x14ac:dyDescent="0.25">
      <c r="A11">
        <v>2015</v>
      </c>
      <c r="B11">
        <v>10</v>
      </c>
      <c r="C11" s="1">
        <f t="shared" si="0"/>
        <v>3038.4615384615386</v>
      </c>
      <c r="D11" s="24">
        <f t="shared" si="1"/>
        <v>0.83333333333333337</v>
      </c>
      <c r="E11" s="1">
        <f t="shared" si="2"/>
        <v>2532.0512820512822</v>
      </c>
      <c r="F11" s="3"/>
      <c r="G11" s="3"/>
      <c r="H11" s="1"/>
      <c r="I11" s="1"/>
    </row>
    <row r="12" spans="1:9" x14ac:dyDescent="0.25">
      <c r="A12">
        <v>2015</v>
      </c>
      <c r="B12">
        <v>11</v>
      </c>
      <c r="C12" s="1">
        <f t="shared" si="0"/>
        <v>3038.4615384615386</v>
      </c>
      <c r="D12" s="24">
        <f t="shared" si="1"/>
        <v>0.91666666666666663</v>
      </c>
      <c r="E12" s="1">
        <f t="shared" si="2"/>
        <v>2785.2564102564102</v>
      </c>
      <c r="F12" s="3"/>
      <c r="G12" s="3"/>
    </row>
    <row r="13" spans="1:9" x14ac:dyDescent="0.25">
      <c r="A13">
        <v>2015</v>
      </c>
      <c r="B13">
        <v>12</v>
      </c>
      <c r="C13" s="1">
        <f t="shared" si="0"/>
        <v>3038.4615384615386</v>
      </c>
      <c r="D13" s="24">
        <f t="shared" si="1"/>
        <v>1</v>
      </c>
      <c r="E13" s="1">
        <f t="shared" si="2"/>
        <v>3038.4615384615386</v>
      </c>
      <c r="F13" s="3"/>
      <c r="G13" s="3">
        <f>SUM(C2:C13)</f>
        <v>36461.538461538461</v>
      </c>
      <c r="H13" s="3">
        <f>SUM(D2:D13)</f>
        <v>6.5</v>
      </c>
      <c r="I13" s="3">
        <f>SUM(E2:E13)</f>
        <v>19750</v>
      </c>
    </row>
    <row r="14" spans="1:9" ht="14.45" x14ac:dyDescent="0.3">
      <c r="A14">
        <f t="shared" ref="A14:A25" si="3">A2+1</f>
        <v>2016</v>
      </c>
      <c r="B14">
        <f t="shared" ref="B14:B25" si="4">B2</f>
        <v>1</v>
      </c>
      <c r="C14" s="188">
        <f>$H$2/12</f>
        <v>3291.6666666666665</v>
      </c>
      <c r="D14" s="24">
        <v>1</v>
      </c>
      <c r="E14" s="1">
        <f t="shared" si="2"/>
        <v>3291.6666666666665</v>
      </c>
      <c r="F14" s="3"/>
      <c r="G14" s="3"/>
    </row>
    <row r="15" spans="1:9" ht="14.45" x14ac:dyDescent="0.3">
      <c r="A15">
        <f t="shared" si="3"/>
        <v>2016</v>
      </c>
      <c r="B15">
        <f t="shared" si="4"/>
        <v>2</v>
      </c>
      <c r="C15" s="1">
        <f>$H$2/12</f>
        <v>3291.6666666666665</v>
      </c>
      <c r="D15" s="24">
        <v>1</v>
      </c>
      <c r="E15" s="1">
        <f t="shared" si="2"/>
        <v>3291.6666666666665</v>
      </c>
      <c r="F15" s="3"/>
      <c r="G15" s="3"/>
    </row>
    <row r="16" spans="1:9" ht="14.45" x14ac:dyDescent="0.3">
      <c r="A16">
        <f t="shared" si="3"/>
        <v>2016</v>
      </c>
      <c r="B16">
        <f t="shared" si="4"/>
        <v>3</v>
      </c>
      <c r="C16" s="1">
        <f t="shared" ref="C16:C25" si="5">$H$2/12</f>
        <v>3291.6666666666665</v>
      </c>
      <c r="D16" s="24">
        <v>1</v>
      </c>
      <c r="E16" s="1">
        <f t="shared" si="2"/>
        <v>3291.6666666666665</v>
      </c>
      <c r="F16" s="3"/>
      <c r="G16" s="3"/>
    </row>
    <row r="17" spans="1:9" ht="14.45" x14ac:dyDescent="0.3">
      <c r="A17">
        <f t="shared" si="3"/>
        <v>2016</v>
      </c>
      <c r="B17">
        <f t="shared" si="4"/>
        <v>4</v>
      </c>
      <c r="C17" s="1">
        <f t="shared" si="5"/>
        <v>3291.6666666666665</v>
      </c>
      <c r="D17" s="24">
        <v>1</v>
      </c>
      <c r="E17" s="1">
        <f t="shared" si="2"/>
        <v>3291.6666666666665</v>
      </c>
      <c r="F17" s="3"/>
      <c r="G17" s="3"/>
    </row>
    <row r="18" spans="1:9" ht="14.45" x14ac:dyDescent="0.3">
      <c r="A18">
        <f t="shared" si="3"/>
        <v>2016</v>
      </c>
      <c r="B18">
        <f t="shared" si="4"/>
        <v>5</v>
      </c>
      <c r="C18" s="1">
        <f t="shared" si="5"/>
        <v>3291.6666666666665</v>
      </c>
      <c r="D18" s="24">
        <v>1</v>
      </c>
      <c r="E18" s="1">
        <f t="shared" si="2"/>
        <v>3291.6666666666665</v>
      </c>
      <c r="F18" s="3"/>
      <c r="G18" s="3"/>
    </row>
    <row r="19" spans="1:9" x14ac:dyDescent="0.25">
      <c r="A19">
        <f t="shared" si="3"/>
        <v>2016</v>
      </c>
      <c r="B19">
        <f t="shared" si="4"/>
        <v>6</v>
      </c>
      <c r="C19" s="1">
        <f t="shared" si="5"/>
        <v>3291.6666666666665</v>
      </c>
      <c r="D19" s="24">
        <v>1</v>
      </c>
      <c r="E19" s="1">
        <f t="shared" si="2"/>
        <v>3291.6666666666665</v>
      </c>
      <c r="F19" s="3"/>
      <c r="G19" s="3"/>
    </row>
    <row r="20" spans="1:9" x14ac:dyDescent="0.25">
      <c r="A20">
        <f t="shared" si="3"/>
        <v>2016</v>
      </c>
      <c r="B20">
        <f t="shared" si="4"/>
        <v>7</v>
      </c>
      <c r="C20" s="1">
        <f t="shared" si="5"/>
        <v>3291.6666666666665</v>
      </c>
      <c r="D20" s="24">
        <v>1</v>
      </c>
      <c r="E20" s="1">
        <f t="shared" si="2"/>
        <v>3291.6666666666665</v>
      </c>
      <c r="F20" s="3"/>
      <c r="G20" s="3"/>
    </row>
    <row r="21" spans="1:9" x14ac:dyDescent="0.25">
      <c r="A21">
        <f t="shared" si="3"/>
        <v>2016</v>
      </c>
      <c r="B21">
        <f t="shared" si="4"/>
        <v>8</v>
      </c>
      <c r="C21" s="1">
        <f t="shared" si="5"/>
        <v>3291.6666666666665</v>
      </c>
      <c r="D21" s="24">
        <v>1</v>
      </c>
      <c r="E21" s="1">
        <f t="shared" si="2"/>
        <v>3291.6666666666665</v>
      </c>
      <c r="F21" s="3"/>
      <c r="G21" s="3"/>
    </row>
    <row r="22" spans="1:9" x14ac:dyDescent="0.25">
      <c r="A22">
        <f t="shared" si="3"/>
        <v>2016</v>
      </c>
      <c r="B22">
        <f t="shared" si="4"/>
        <v>9</v>
      </c>
      <c r="C22" s="1">
        <f t="shared" si="5"/>
        <v>3291.6666666666665</v>
      </c>
      <c r="D22" s="24">
        <v>1</v>
      </c>
      <c r="E22" s="1">
        <f t="shared" si="2"/>
        <v>3291.6666666666665</v>
      </c>
      <c r="F22" s="3"/>
      <c r="G22" s="3"/>
    </row>
    <row r="23" spans="1:9" x14ac:dyDescent="0.25">
      <c r="A23">
        <f t="shared" si="3"/>
        <v>2016</v>
      </c>
      <c r="B23">
        <f t="shared" si="4"/>
        <v>10</v>
      </c>
      <c r="C23" s="1">
        <f t="shared" si="5"/>
        <v>3291.6666666666665</v>
      </c>
      <c r="D23" s="24">
        <v>1</v>
      </c>
      <c r="E23" s="1">
        <f t="shared" si="2"/>
        <v>3291.6666666666665</v>
      </c>
      <c r="F23" s="3"/>
      <c r="G23" s="3"/>
    </row>
    <row r="24" spans="1:9" x14ac:dyDescent="0.25">
      <c r="A24">
        <f t="shared" si="3"/>
        <v>2016</v>
      </c>
      <c r="B24">
        <f t="shared" si="4"/>
        <v>11</v>
      </c>
      <c r="C24" s="1">
        <f t="shared" si="5"/>
        <v>3291.6666666666665</v>
      </c>
      <c r="D24" s="24">
        <v>1</v>
      </c>
      <c r="E24" s="1">
        <f t="shared" si="2"/>
        <v>3291.6666666666665</v>
      </c>
      <c r="F24" s="3"/>
      <c r="G24" s="3"/>
    </row>
    <row r="25" spans="1:9" x14ac:dyDescent="0.25">
      <c r="A25">
        <f t="shared" si="3"/>
        <v>2016</v>
      </c>
      <c r="B25">
        <f t="shared" si="4"/>
        <v>12</v>
      </c>
      <c r="C25" s="1">
        <f t="shared" si="5"/>
        <v>3291.6666666666665</v>
      </c>
      <c r="D25" s="24">
        <v>1</v>
      </c>
      <c r="E25" s="1">
        <f t="shared" si="2"/>
        <v>3291.6666666666665</v>
      </c>
      <c r="F25" s="3"/>
      <c r="G25" s="3">
        <f>SUM(C14:C25)</f>
        <v>39500</v>
      </c>
      <c r="H25" s="3">
        <f>SUM(D14:D25)</f>
        <v>12</v>
      </c>
      <c r="I25" s="3">
        <f>SUM(E14:E25)</f>
        <v>39500</v>
      </c>
    </row>
    <row r="26" spans="1:9" x14ac:dyDescent="0.25">
      <c r="C26" s="1"/>
      <c r="E26" s="3"/>
    </row>
    <row r="27" spans="1:9" x14ac:dyDescent="0.25">
      <c r="C27" s="1"/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2b8bb3d4-4679-4201-bf4e-ecf5a190cbdc">Confidential</Sensitivity>
    <pa1e2cbc04ca47e08abd8c9ba3e93ecc xmlns="2b8bb3d4-4679-4201-bf4e-ecf5a190cbd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Regulatory Agencies - Rate Regulation</TermName>
          <TermId xmlns="http://schemas.microsoft.com/office/infopath/2007/PartnerControls">793d7250-157d-4086-b6c4-e3e3c84537ba</TermId>
        </TermInfo>
      </Terms>
    </pa1e2cbc04ca47e08abd8c9ba3e93ecc>
    <_dlc_DocId xmlns="2b8bb3d4-4679-4201-bf4e-ecf5a190cbdc">HOLFIN-10-1209</_dlc_DocId>
    <TaxCatchAll xmlns="2b8bb3d4-4679-4201-bf4e-ecf5a190cbdc">
      <Value>5</Value>
    </TaxCatchAll>
    <_dlc_DocIdUrl xmlns="2b8bb3d4-4679-4201-bf4e-ecf5a190cbdc">
      <Url>http://spapp01/sites/FIN/REG/RateApp/_layouts/DocIdRedir.aspx?ID=HOLFIN-10-1209</Url>
      <Description>HOLFIN-10-1209</Description>
    </_dlc_DocIdUrl>
    <TaxKeywordTaxHTField xmlns="2b8bb3d4-4679-4201-bf4e-ecf5a190cbdc">
      <Terms xmlns="http://schemas.microsoft.com/office/infopath/2007/PartnerControls"/>
    </TaxKeywordTaxHTField>
    <RA_Tab xmlns="2b8bb3d4-4679-4201-bf4e-ecf5a190cbdc" xsi:nil="true"/>
    <RA_Schedule xmlns="2b8bb3d4-4679-4201-bf4e-ecf5a190cbdc" xsi:nil="true"/>
    <RA_DirectorResponsible xmlns="2b8bb3d4-4679-4201-bf4e-ecf5a190cbdc" xsi:nil="true"/>
    <RA_Case_Number xmlns="2b8bb3d4-4679-4201-bf4e-ecf5a190cbdc" xsi:nil="true"/>
    <RA_Date_Filed xmlns="2b8bb3d4-4679-4201-bf4e-ecf5a190cbdc" xsi:nil="true"/>
    <Document_x0020_Type xmlns="2b8bb3d4-4679-4201-bf4e-ecf5a190cbdc" xsi:nil="true"/>
    <RA_x0020_Regulatory_x0020_Lead xmlns="2b8bb3d4-4679-4201-bf4e-ecf5a190cbdc">
      <UserInfo>
        <DisplayName/>
        <AccountId xsi:nil="true"/>
        <AccountType/>
      </UserInfo>
    </RA_x0020_Regulatory_x0020_Lead>
    <Exhibit_Number xmlns="2b8bb3d4-4679-4201-bf4e-ecf5a190cbdc" xsi:nil="true"/>
    <Description1 xmlns="2b8bb3d4-4679-4201-bf4e-ecf5a190cbdc" xsi:nil="true"/>
    <_DCDateCreated xmlns="http://schemas.microsoft.com/sharepoint/v3/fields">2015-04-30T01:03:31+00:00</_DCDateCreate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>http://spapp01/cth/_cts/HOL Document/WordDocInfoPanel.xsn</xsnLocation>
  <cached>False</cached>
  <openByDefault>False</openByDefault>
  <xsnScope>http://spapp01/cth</xsnScope>
</customXsn>
</file>

<file path=customXml/item4.xml><?xml version="1.0" encoding="utf-8"?>
<?mso-contentType ?>
<SharedContentType xmlns="Microsoft.SharePoint.Taxonomy.ContentTypeSync" SourceId="9d54efc9-ddd0-46ce-8ac6-e4a1c98f1b3f" ContentTypeId="0x01010023FD8C82E6D69E48AEBE17BC8626DB890A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ate Application Document" ma:contentTypeID="0x01010023FD8C82E6D69E48AEBE17BC8626DB890A00F48D30928EA162439034321E6F9EE4A2" ma:contentTypeVersion="55" ma:contentTypeDescription="Create a new Rate Application Document." ma:contentTypeScope="" ma:versionID="c35e1130b099b58916ef2d954a90dedd">
  <xsd:schema xmlns:xsd="http://www.w3.org/2001/XMLSchema" xmlns:xs="http://www.w3.org/2001/XMLSchema" xmlns:p="http://schemas.microsoft.com/office/2006/metadata/properties" xmlns:ns2="2b8bb3d4-4679-4201-bf4e-ecf5a190cbdc" xmlns:ns3="http://schemas.microsoft.com/sharepoint/v3/fields" targetNamespace="http://schemas.microsoft.com/office/2006/metadata/properties" ma:root="true" ma:fieldsID="9ab3b22888e52267a9fc135774d470f9" ns2:_="" ns3:_="">
    <xsd:import namespace="2b8bb3d4-4679-4201-bf4e-ecf5a190cbd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_DCDateCreated" minOccurs="0"/>
                <xsd:element ref="ns2:Description1" minOccurs="0"/>
                <xsd:element ref="ns2:Sensitivity"/>
                <xsd:element ref="ns2:pa1e2cbc04ca47e08abd8c9ba3e93ecc" minOccurs="0"/>
                <xsd:element ref="ns2:TaxCatchAll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2:RA_Date_Filed" minOccurs="0"/>
                <xsd:element ref="ns2:RA_Case_Number" minOccurs="0"/>
                <xsd:element ref="ns2:RA_DirectorResponsible" minOccurs="0"/>
                <xsd:element ref="ns2:RA_x0020_Regulatory_x0020_Lead" minOccurs="0"/>
                <xsd:element ref="ns2:RA_Tab" minOccurs="0"/>
                <xsd:element ref="ns2:Exhibit_Number" minOccurs="0"/>
                <xsd:element ref="ns2:RA_Schedu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format="Dropdown" ma:internalName="Document_x0020_Type" ma:readOnly="false">
      <xsd:simpleType>
        <xsd:restriction base="dms:Choice">
          <xsd:enumeration value="MS Word"/>
          <xsd:enumeration value="MS Excel"/>
          <xsd:enumeration value="MS PowerPoint"/>
          <xsd:enumeration value="MS Outlook"/>
          <xsd:enumeration value="PDF"/>
          <xsd:enumeration value="Image"/>
          <xsd:enumeration value="Other"/>
        </xsd:restriction>
      </xsd:simpleType>
    </xsd:element>
    <xsd:element name="Description1" ma:index="5" nillable="true" ma:displayName="Document Description" ma:description="Describe the document purpose or scope." ma:internalName="Description1" ma:readOnly="false">
      <xsd:simpleType>
        <xsd:restriction base="dms:Note">
          <xsd:maxLength value="255"/>
        </xsd:restriction>
      </xsd:simpleType>
    </xsd:element>
    <xsd:element name="Sensitivity" ma:index="6" ma:displayName="Privacy Classification" ma:default="Internal Use Only" ma:description="See here for guidance on how to determine privacy classification: http://newintranet/content/9795." ma:format="RadioButtons" ma:internalName="Sensitivity" ma:readOnly="false">
      <xsd:simpleType>
        <xsd:restriction base="dms:Choice">
          <xsd:enumeration value="Public"/>
          <xsd:enumeration value="Internal Use Only"/>
          <xsd:enumeration value="Confidential"/>
          <xsd:enumeration value="Restricted"/>
        </xsd:restriction>
      </xsd:simpleType>
    </xsd:element>
    <xsd:element name="pa1e2cbc04ca47e08abd8c9ba3e93ecc" ma:index="10" nillable="true" ma:taxonomy="true" ma:internalName="pa1e2cbc04ca47e08abd8c9ba3e93ecc" ma:taxonomyFieldName="Classification" ma:displayName="Subject Classification (formal)" ma:readOnly="false" ma:default="" ma:fieldId="{9a1e2cbc-04ca-47e0-8abd-8c9ba3e93ecc}" ma:sspId="9d54efc9-ddd0-46ce-8ac6-e4a1c98f1b3f" ma:termSetId="c836e179-886e-477e-bf68-81a22b0030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17129f69-ad62-4df4-9ab8-e72e3234ae98}" ma:internalName="TaxCatchAll" ma:showField="CatchAllData" ma:web="0b36da6f-6698-45de-88db-cb3657260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17129f69-ad62-4df4-9ab8-e72e3234ae98}" ma:internalName="TaxCatchAllLabel" ma:readOnly="true" ma:showField="CatchAllDataLabel" ma:web="0b36da6f-6698-45de-88db-cb3657260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Enterprise Keywords (informal)" ma:readOnly="false" ma:fieldId="{23f27201-bee3-471e-b2e7-b64fd8b7ca38}" ma:taxonomyMulti="true" ma:sspId="0c7bf0ea-5560-4c45-86be-00636766745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A_Date_Filed" ma:index="22" nillable="true" ma:displayName="RA Date Filed" ma:format="DateOnly" ma:internalName="RA_Date_Filed" ma:readOnly="false">
      <xsd:simpleType>
        <xsd:restriction base="dms:DateTime"/>
      </xsd:simpleType>
    </xsd:element>
    <xsd:element name="RA_Case_Number" ma:index="23" nillable="true" ma:displayName="RA Case Number" ma:internalName="RA_Case_Number" ma:readOnly="false">
      <xsd:simpleType>
        <xsd:restriction base="dms:Text">
          <xsd:maxLength value="255"/>
        </xsd:restriction>
      </xsd:simpleType>
    </xsd:element>
    <xsd:element name="RA_DirectorResponsible" ma:index="24" nillable="true" ma:displayName="RA Director Responsible" ma:internalName="RA_DirectorResponsible" ma:readOnly="false">
      <xsd:simpleType>
        <xsd:restriction base="dms:Text">
          <xsd:maxLength value="255"/>
        </xsd:restriction>
      </xsd:simpleType>
    </xsd:element>
    <xsd:element name="RA_x0020_Regulatory_x0020_Lead" ma:index="25" nillable="true" ma:displayName="RA Regulatory Lead" ma:list="UserInfo" ma:SharePointGroup="0" ma:internalName="RA_x0020_Regulatory_x0020_Lea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_Tab" ma:index="26" nillable="true" ma:displayName="RA Tab" ma:internalName="RA_Tab" ma:readOnly="false">
      <xsd:simpleType>
        <xsd:restriction base="dms:Text">
          <xsd:maxLength value="255"/>
        </xsd:restriction>
      </xsd:simpleType>
    </xsd:element>
    <xsd:element name="Exhibit_Number" ma:index="27" nillable="true" ma:displayName="RA Exhibit Number" ma:internalName="Exhibit_Number" ma:readOnly="false">
      <xsd:simpleType>
        <xsd:restriction base="dms:Text">
          <xsd:maxLength value="255"/>
        </xsd:restriction>
      </xsd:simpleType>
    </xsd:element>
    <xsd:element name="RA_Schedule" ma:index="28" nillable="true" ma:displayName="RA Schedule" ma:internalName="RA_Schedul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4" nillable="true" ma:displayName="Date Created" ma:default="[today]" ma:description="The date on which the document was created." ma:format="DateOnly" ma:internalName="_DCDateCreat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Document Author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3617D-2BC5-476A-86D1-6C60E5ABC514}"/>
</file>

<file path=customXml/itemProps2.xml><?xml version="1.0" encoding="utf-8"?>
<ds:datastoreItem xmlns:ds="http://schemas.openxmlformats.org/officeDocument/2006/customXml" ds:itemID="{6640F57C-7FBC-483F-B06A-B6736BD3F20C}"/>
</file>

<file path=customXml/itemProps3.xml><?xml version="1.0" encoding="utf-8"?>
<ds:datastoreItem xmlns:ds="http://schemas.openxmlformats.org/officeDocument/2006/customXml" ds:itemID="{53712738-2FED-4549-A4EA-17C225B073AB}"/>
</file>

<file path=customXml/itemProps4.xml><?xml version="1.0" encoding="utf-8"?>
<ds:datastoreItem xmlns:ds="http://schemas.openxmlformats.org/officeDocument/2006/customXml" ds:itemID="{D97D4997-49CC-491F-9900-6A214CD4A52D}"/>
</file>

<file path=customXml/itemProps5.xml><?xml version="1.0" encoding="utf-8"?>
<ds:datastoreItem xmlns:ds="http://schemas.openxmlformats.org/officeDocument/2006/customXml" ds:itemID="{261FB2C4-FA7F-4467-B626-5ACAD89D0CCB}"/>
</file>

<file path=customXml/itemProps6.xml><?xml version="1.0" encoding="utf-8"?>
<ds:datastoreItem xmlns:ds="http://schemas.openxmlformats.org/officeDocument/2006/customXml" ds:itemID="{5008AD92-F29A-420E-835A-25D1EE82FD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DetailedSaving</vt:lpstr>
      <vt:lpstr>Past Savings</vt:lpstr>
      <vt:lpstr>Forecasted Targets</vt:lpstr>
      <vt:lpstr>Comm Breakdown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AnnualSavings</vt:lpstr>
      <vt:lpstr>ZeroSavings</vt:lpstr>
      <vt:lpstr>HalfSavings</vt:lpstr>
      <vt:lpstr>AllSavings</vt:lpstr>
      <vt:lpstr>'Forecasted Targets'!Print_Area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Michael Russo</cp:lastModifiedBy>
  <cp:lastPrinted>2014-04-10T14:49:02Z</cp:lastPrinted>
  <dcterms:created xsi:type="dcterms:W3CDTF">2014-04-10T14:08:23Z</dcterms:created>
  <dcterms:modified xsi:type="dcterms:W3CDTF">2015-01-13T15:06:22Z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_dlc_DocIdItemGuid">
    <vt:lpwstr>e7baf8d6-03cc-4125-8d89-4fe2e025ce86</vt:lpwstr>
  </property>
  <property fmtid="{D5CDD505-2E9C-101B-9397-08002B2CF9AE}" pid="4" name="Classification">
    <vt:lpwstr>5;#Regulatory Agencies - Rate Regulation|793d7250-157d-4086-b6c4-e3e3c84537ba</vt:lpwstr>
  </property>
  <property fmtid="{D5CDD505-2E9C-101B-9397-08002B2CF9AE}" pid="5" name="ContentTypeId">
    <vt:lpwstr>0x01010023FD8C82E6D69E48AEBE17BC8626DB890A00F48D30928EA162439034321E6F9EE4A2</vt:lpwstr>
  </property>
</Properties>
</file>