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" windowWidth="15192" windowHeight="9552" tabRatio="660" firstSheet="5" activeTab="8"/>
  </bookViews>
  <sheets>
    <sheet name="Summary" sheetId="11" r:id="rId1"/>
    <sheet name="Purchased Power Model" sheetId="7" r:id="rId2"/>
    <sheet name="Rate Class Energy Model" sheetId="9" r:id="rId3"/>
    <sheet name="Rate Class Customer Model" sheetId="17" r:id="rId4"/>
    <sheet name="Rate Class Load Model" sheetId="18" r:id="rId5"/>
    <sheet name="CDM Activity" sheetId="26" r:id="rId6"/>
    <sheet name="Weather Analysis " sheetId="32" r:id="rId7"/>
    <sheet name="2015 COP Forecast" sheetId="33" r:id="rId8"/>
    <sheet name="2016 COP Forecast" sheetId="34" r:id="rId9"/>
  </sheets>
  <externalReferences>
    <externalReference r:id="rId10"/>
    <externalReference r:id="rId11"/>
    <externalReference r:id="rId12"/>
  </externalReferences>
  <definedNames>
    <definedName name="_Order1" hidden="1">255</definedName>
    <definedName name="_Sort" localSheetId="6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6">#REF!</definedName>
    <definedName name="PAGE11">#REF!</definedName>
    <definedName name="PAGE2" localSheetId="6">[1]Sheet1!$A$1:$I$40</definedName>
    <definedName name="PAGE2">[2]Sheet1!$A$1:$I$40</definedName>
    <definedName name="PAGE3" localSheetId="6">#REF!</definedName>
    <definedName name="PAGE3">#REF!</definedName>
    <definedName name="PAGE4" localSheetId="6">#REF!</definedName>
    <definedName name="PAGE4">#REF!</definedName>
    <definedName name="PAGE7" localSheetId="6">#REF!</definedName>
    <definedName name="PAGE7">#REF!</definedName>
    <definedName name="PAGE9" localSheetId="6">#REF!</definedName>
    <definedName name="PAGE9">#REF!</definedName>
    <definedName name="_xlnm.Print_Area" localSheetId="1">'Purchased Power Model'!$A$1:$P$281</definedName>
    <definedName name="_xlnm.Print_Area" localSheetId="3">'Rate Class Customer Model'!$A$1:$K$40</definedName>
    <definedName name="_xlnm.Print_Area" localSheetId="2">'Rate Class Energy Model'!$A$1:$O$82</definedName>
    <definedName name="_xlnm.Print_Area" localSheetId="4">'Rate Class Load Model'!$A$1:$G$37</definedName>
    <definedName name="_xlnm.Print_Titles" localSheetId="1">'Purchased Power Model'!$A:$P,'Purchased Power Model'!$1:$2</definedName>
    <definedName name="RevReqLookupKey">[3]Refs!$B$5</definedName>
    <definedName name="RevReqRange">[3]Refs!$B$7</definedName>
  </definedNames>
  <calcPr calcId="145621"/>
</workbook>
</file>

<file path=xl/calcChain.xml><?xml version="1.0" encoding="utf-8"?>
<calcChain xmlns="http://schemas.openxmlformats.org/spreadsheetml/2006/main">
  <c r="K5" i="17" l="1"/>
  <c r="K6" i="17"/>
  <c r="K7" i="17"/>
  <c r="K8" i="17"/>
  <c r="K9" i="17"/>
  <c r="K10" i="17"/>
  <c r="K11" i="17"/>
  <c r="K12" i="17"/>
  <c r="K13" i="17"/>
  <c r="K14" i="17"/>
  <c r="K15" i="17"/>
  <c r="K16" i="17"/>
  <c r="B52" i="11"/>
  <c r="C52" i="11"/>
  <c r="D52" i="11"/>
  <c r="E52" i="11"/>
  <c r="F52" i="11"/>
  <c r="G52" i="11"/>
  <c r="H52" i="11"/>
  <c r="F58" i="33" l="1"/>
  <c r="F46" i="33"/>
  <c r="H64" i="17" l="1"/>
  <c r="H63" i="17"/>
  <c r="C64" i="17" l="1"/>
  <c r="C63" i="17"/>
  <c r="H98" i="33" l="1"/>
  <c r="H97" i="33"/>
  <c r="H98" i="34"/>
  <c r="H97" i="34"/>
  <c r="D82" i="34" l="1"/>
  <c r="D34" i="34"/>
  <c r="D58" i="34" l="1"/>
  <c r="E48" i="33" l="1"/>
  <c r="D58" i="33" l="1"/>
  <c r="D34" i="33"/>
  <c r="M22" i="9" l="1"/>
  <c r="M21" i="9"/>
  <c r="M20" i="9"/>
  <c r="M19" i="9"/>
  <c r="M18" i="9"/>
  <c r="M17" i="9"/>
  <c r="M16" i="9"/>
  <c r="M15" i="9"/>
  <c r="M14" i="9"/>
  <c r="M13" i="9"/>
  <c r="M12" i="9"/>
  <c r="H17" i="17" l="1"/>
  <c r="H18" i="17"/>
  <c r="C17" i="17"/>
  <c r="C18" i="17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3" i="7"/>
  <c r="L231" i="7" l="1"/>
  <c r="I231" i="7" l="1"/>
  <c r="I232" i="7"/>
  <c r="I233" i="7"/>
  <c r="I234" i="7"/>
  <c r="I235" i="7"/>
  <c r="I236" i="7"/>
  <c r="I237" i="7"/>
  <c r="I238" i="7"/>
  <c r="I239" i="7"/>
  <c r="I240" i="7"/>
  <c r="I241" i="7"/>
  <c r="I242" i="7"/>
  <c r="H232" i="7"/>
  <c r="H233" i="7"/>
  <c r="H234" i="7"/>
  <c r="H235" i="7"/>
  <c r="H236" i="7"/>
  <c r="H237" i="7"/>
  <c r="H238" i="7"/>
  <c r="H239" i="7"/>
  <c r="H240" i="7"/>
  <c r="H241" i="7"/>
  <c r="H242" i="7"/>
  <c r="H231" i="7"/>
  <c r="N231" i="7" s="1"/>
  <c r="D18" i="17" l="1"/>
  <c r="D17" i="17"/>
  <c r="G63" i="17" l="1"/>
  <c r="G17" i="17" s="1"/>
  <c r="B63" i="17"/>
  <c r="B64" i="17" s="1"/>
  <c r="B17" i="17" l="1"/>
  <c r="B18" i="17"/>
  <c r="G64" i="17"/>
  <c r="G18" i="17" s="1"/>
  <c r="G3" i="7" l="1"/>
  <c r="O3" i="7" s="1"/>
  <c r="P3" i="7" s="1"/>
  <c r="Q3" i="7" s="1"/>
  <c r="G4" i="7"/>
  <c r="O4" i="7" s="1"/>
  <c r="P4" i="7" s="1"/>
  <c r="Q4" i="7" s="1"/>
  <c r="G5" i="7"/>
  <c r="O5" i="7" s="1"/>
  <c r="P5" i="7" s="1"/>
  <c r="Q5" i="7" s="1"/>
  <c r="G6" i="7"/>
  <c r="O6" i="7" s="1"/>
  <c r="P6" i="7" s="1"/>
  <c r="Q6" i="7" s="1"/>
  <c r="G7" i="7"/>
  <c r="O7" i="7" s="1"/>
  <c r="P7" i="7" s="1"/>
  <c r="Q7" i="7" s="1"/>
  <c r="G8" i="7"/>
  <c r="O8" i="7" s="1"/>
  <c r="P8" i="7" s="1"/>
  <c r="Q8" i="7" s="1"/>
  <c r="G9" i="7"/>
  <c r="O9" i="7" s="1"/>
  <c r="P9" i="7" s="1"/>
  <c r="Q9" i="7" s="1"/>
  <c r="G10" i="7"/>
  <c r="O10" i="7" s="1"/>
  <c r="P10" i="7" s="1"/>
  <c r="Q10" i="7" s="1"/>
  <c r="G11" i="7"/>
  <c r="O11" i="7" s="1"/>
  <c r="P11" i="7" s="1"/>
  <c r="Q11" i="7" s="1"/>
  <c r="G12" i="7"/>
  <c r="O12" i="7" s="1"/>
  <c r="P12" i="7" s="1"/>
  <c r="Q12" i="7" s="1"/>
  <c r="G13" i="7"/>
  <c r="O13" i="7" s="1"/>
  <c r="P13" i="7" s="1"/>
  <c r="Q13" i="7" s="1"/>
  <c r="G14" i="7"/>
  <c r="O14" i="7" s="1"/>
  <c r="P14" i="7" s="1"/>
  <c r="Q14" i="7" s="1"/>
  <c r="G15" i="7"/>
  <c r="O15" i="7" s="1"/>
  <c r="P15" i="7" s="1"/>
  <c r="Q15" i="7" s="1"/>
  <c r="G16" i="7"/>
  <c r="O16" i="7" s="1"/>
  <c r="P16" i="7" s="1"/>
  <c r="Q16" i="7" s="1"/>
  <c r="G17" i="7"/>
  <c r="O17" i="7" s="1"/>
  <c r="P17" i="7" s="1"/>
  <c r="Q17" i="7" s="1"/>
  <c r="G18" i="7"/>
  <c r="O18" i="7" s="1"/>
  <c r="P18" i="7" s="1"/>
  <c r="Q18" i="7" s="1"/>
  <c r="G19" i="7"/>
  <c r="O19" i="7" s="1"/>
  <c r="P19" i="7" s="1"/>
  <c r="Q19" i="7" s="1"/>
  <c r="G20" i="7"/>
  <c r="O20" i="7" s="1"/>
  <c r="P20" i="7" s="1"/>
  <c r="Q20" i="7" s="1"/>
  <c r="G21" i="7"/>
  <c r="O21" i="7" s="1"/>
  <c r="P21" i="7" s="1"/>
  <c r="Q21" i="7" s="1"/>
  <c r="G22" i="7"/>
  <c r="O22" i="7" s="1"/>
  <c r="P22" i="7" s="1"/>
  <c r="Q22" i="7" s="1"/>
  <c r="G23" i="7"/>
  <c r="O23" i="7" s="1"/>
  <c r="P23" i="7" s="1"/>
  <c r="Q23" i="7" s="1"/>
  <c r="G24" i="7"/>
  <c r="O24" i="7" s="1"/>
  <c r="P24" i="7" s="1"/>
  <c r="Q24" i="7" s="1"/>
  <c r="G25" i="7"/>
  <c r="O25" i="7" s="1"/>
  <c r="P25" i="7" s="1"/>
  <c r="Q25" i="7" s="1"/>
  <c r="G26" i="7"/>
  <c r="O26" i="7" s="1"/>
  <c r="P26" i="7" s="1"/>
  <c r="Q26" i="7" s="1"/>
  <c r="G27" i="7"/>
  <c r="E9" i="26" l="1"/>
  <c r="H76" i="9" l="1"/>
  <c r="F33" i="18" l="1"/>
  <c r="F31" i="18"/>
  <c r="F35" i="18" s="1"/>
  <c r="F32" i="18"/>
  <c r="F30" i="18"/>
  <c r="I19" i="26" l="1"/>
  <c r="I18" i="26"/>
  <c r="G15" i="26" l="1"/>
  <c r="H15" i="26" s="1"/>
  <c r="G14" i="26"/>
  <c r="H14" i="26" s="1"/>
  <c r="G13" i="26"/>
  <c r="H13" i="26" s="1"/>
  <c r="G12" i="26"/>
  <c r="H12" i="26" s="1"/>
  <c r="C5" i="17" l="1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C14" i="17"/>
  <c r="D14" i="17"/>
  <c r="E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E17" i="17" s="1"/>
  <c r="F16" i="17"/>
  <c r="G16" i="17"/>
  <c r="H16" i="17"/>
  <c r="I16" i="17"/>
  <c r="B16" i="17"/>
  <c r="B6" i="17"/>
  <c r="B7" i="17"/>
  <c r="B8" i="17"/>
  <c r="B9" i="17"/>
  <c r="B10" i="17"/>
  <c r="B11" i="17"/>
  <c r="B12" i="17"/>
  <c r="B13" i="17"/>
  <c r="B14" i="17"/>
  <c r="B15" i="17"/>
  <c r="B5" i="17"/>
  <c r="E8" i="26"/>
  <c r="D8" i="26" l="1"/>
  <c r="D7" i="26"/>
  <c r="C13" i="26"/>
  <c r="B12" i="26"/>
  <c r="L232" i="7" l="1"/>
  <c r="N232" i="7" s="1"/>
  <c r="L233" i="7" l="1"/>
  <c r="N233" i="7" s="1"/>
  <c r="B6" i="26"/>
  <c r="L234" i="7" l="1"/>
  <c r="N234" i="7" s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L235" i="7" l="1"/>
  <c r="N235" i="7" s="1"/>
  <c r="L236" i="7" l="1"/>
  <c r="N236" i="7" s="1"/>
  <c r="H20" i="26"/>
  <c r="G20" i="26"/>
  <c r="G86" i="9"/>
  <c r="G85" i="9"/>
  <c r="A88" i="9"/>
  <c r="J85" i="9" l="1"/>
  <c r="I85" i="9"/>
  <c r="H85" i="9"/>
  <c r="J86" i="9"/>
  <c r="I86" i="9"/>
  <c r="H86" i="9"/>
  <c r="L237" i="7"/>
  <c r="N237" i="7" s="1"/>
  <c r="F13" i="26"/>
  <c r="I13" i="26" s="1"/>
  <c r="F12" i="26"/>
  <c r="I12" i="26" s="1"/>
  <c r="E7" i="26"/>
  <c r="E6" i="26"/>
  <c r="H16" i="26"/>
  <c r="G16" i="26"/>
  <c r="I2" i="17"/>
  <c r="A8" i="9"/>
  <c r="A9" i="9"/>
  <c r="A10" i="9"/>
  <c r="A11" i="9"/>
  <c r="A12" i="9"/>
  <c r="A34" i="9" s="1"/>
  <c r="A51" i="9" s="1"/>
  <c r="A13" i="9"/>
  <c r="A35" i="9" s="1"/>
  <c r="A52" i="9" s="1"/>
  <c r="A14" i="9"/>
  <c r="A36" i="9" s="1"/>
  <c r="A53" i="9" s="1"/>
  <c r="A15" i="9"/>
  <c r="A37" i="9" s="1"/>
  <c r="A54" i="9" s="1"/>
  <c r="A16" i="9"/>
  <c r="A38" i="9" s="1"/>
  <c r="A55" i="9" s="1"/>
  <c r="A17" i="9"/>
  <c r="A39" i="9" s="1"/>
  <c r="A56" i="9" s="1"/>
  <c r="A18" i="9"/>
  <c r="A40" i="9" s="1"/>
  <c r="A57" i="9" s="1"/>
  <c r="A19" i="9"/>
  <c r="A41" i="9" s="1"/>
  <c r="A58" i="9" s="1"/>
  <c r="A20" i="9"/>
  <c r="A42" i="9" s="1"/>
  <c r="A59" i="9" s="1"/>
  <c r="A21" i="9"/>
  <c r="A43" i="9" s="1"/>
  <c r="A60" i="9" s="1"/>
  <c r="A22" i="9"/>
  <c r="A44" i="9" s="1"/>
  <c r="A61" i="9" s="1"/>
  <c r="A23" i="9"/>
  <c r="A45" i="9" s="1"/>
  <c r="A62" i="9" s="1"/>
  <c r="A24" i="9"/>
  <c r="A46" i="9" s="1"/>
  <c r="A25" i="9"/>
  <c r="A47" i="9" s="1"/>
  <c r="L238" i="7" l="1"/>
  <c r="N238" i="7" s="1"/>
  <c r="D85" i="34"/>
  <c r="D84" i="34"/>
  <c r="D83" i="34"/>
  <c r="D81" i="34"/>
  <c r="D80" i="34"/>
  <c r="D79" i="34"/>
  <c r="D78" i="34"/>
  <c r="D61" i="34"/>
  <c r="D60" i="34"/>
  <c r="D59" i="34"/>
  <c r="D57" i="34"/>
  <c r="D56" i="34"/>
  <c r="D55" i="34"/>
  <c r="D54" i="34"/>
  <c r="D37" i="34"/>
  <c r="D36" i="34"/>
  <c r="D35" i="34"/>
  <c r="D33" i="34"/>
  <c r="D32" i="34"/>
  <c r="D31" i="34"/>
  <c r="D30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1" i="33"/>
  <c r="D60" i="33"/>
  <c r="D59" i="33"/>
  <c r="D57" i="33"/>
  <c r="D56" i="33"/>
  <c r="D55" i="33"/>
  <c r="D54" i="33"/>
  <c r="D37" i="33"/>
  <c r="D36" i="33"/>
  <c r="D35" i="33"/>
  <c r="D33" i="33"/>
  <c r="D32" i="33"/>
  <c r="D31" i="33"/>
  <c r="D30" i="33"/>
  <c r="B25" i="33"/>
  <c r="B37" i="33" s="1"/>
  <c r="B49" i="33" s="1"/>
  <c r="B61" i="33" s="1"/>
  <c r="B73" i="33" s="1"/>
  <c r="B85" i="33" s="1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L239" i="7" l="1"/>
  <c r="N239" i="7" s="1"/>
  <c r="C7" i="26"/>
  <c r="L240" i="7" l="1"/>
  <c r="N240" i="7" s="1"/>
  <c r="F7" i="26"/>
  <c r="L241" i="7" l="1"/>
  <c r="N24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O63" i="7"/>
  <c r="P63" i="7" s="1"/>
  <c r="Q63" i="7" s="1"/>
  <c r="O62" i="7"/>
  <c r="P62" i="7" s="1"/>
  <c r="Q62" i="7" s="1"/>
  <c r="O61" i="7"/>
  <c r="P61" i="7" s="1"/>
  <c r="Q61" i="7" s="1"/>
  <c r="O60" i="7"/>
  <c r="P60" i="7" s="1"/>
  <c r="Q60" i="7" s="1"/>
  <c r="O59" i="7"/>
  <c r="P59" i="7" s="1"/>
  <c r="Q59" i="7" s="1"/>
  <c r="O58" i="7"/>
  <c r="P58" i="7" s="1"/>
  <c r="Q58" i="7" s="1"/>
  <c r="O57" i="7"/>
  <c r="P57" i="7" s="1"/>
  <c r="Q57" i="7" s="1"/>
  <c r="O56" i="7"/>
  <c r="P56" i="7" s="1"/>
  <c r="Q56" i="7" s="1"/>
  <c r="O55" i="7"/>
  <c r="P55" i="7" s="1"/>
  <c r="Q55" i="7" s="1"/>
  <c r="O54" i="7"/>
  <c r="P54" i="7" s="1"/>
  <c r="Q54" i="7" s="1"/>
  <c r="O53" i="7"/>
  <c r="P53" i="7" s="1"/>
  <c r="Q53" i="7" s="1"/>
  <c r="O52" i="7"/>
  <c r="P52" i="7" s="1"/>
  <c r="Q52" i="7" s="1"/>
  <c r="O51" i="7"/>
  <c r="P51" i="7" s="1"/>
  <c r="Q51" i="7" s="1"/>
  <c r="O50" i="7"/>
  <c r="P50" i="7" s="1"/>
  <c r="Q50" i="7" s="1"/>
  <c r="O49" i="7"/>
  <c r="P49" i="7" s="1"/>
  <c r="Q49" i="7" s="1"/>
  <c r="O48" i="7"/>
  <c r="P48" i="7" s="1"/>
  <c r="Q48" i="7" s="1"/>
  <c r="O47" i="7"/>
  <c r="P47" i="7" s="1"/>
  <c r="Q47" i="7" s="1"/>
  <c r="O46" i="7"/>
  <c r="P46" i="7" s="1"/>
  <c r="Q46" i="7" s="1"/>
  <c r="O45" i="7"/>
  <c r="P45" i="7" s="1"/>
  <c r="Q45" i="7" s="1"/>
  <c r="O44" i="7"/>
  <c r="P44" i="7" s="1"/>
  <c r="Q44" i="7" s="1"/>
  <c r="O43" i="7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P39" i="7" s="1"/>
  <c r="Q39" i="7" s="1"/>
  <c r="O38" i="7"/>
  <c r="P38" i="7" s="1"/>
  <c r="Q38" i="7" s="1"/>
  <c r="O37" i="7"/>
  <c r="P37" i="7" s="1"/>
  <c r="Q37" i="7" s="1"/>
  <c r="O36" i="7"/>
  <c r="P36" i="7" s="1"/>
  <c r="Q36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30" i="7"/>
  <c r="P30" i="7" s="1"/>
  <c r="Q30" i="7" s="1"/>
  <c r="O29" i="7"/>
  <c r="P29" i="7" s="1"/>
  <c r="Q29" i="7" s="1"/>
  <c r="O28" i="7"/>
  <c r="P28" i="7" s="1"/>
  <c r="Q28" i="7" s="1"/>
  <c r="O27" i="7"/>
  <c r="P27" i="7" s="1"/>
  <c r="Q27" i="7" s="1"/>
  <c r="L242" i="7" l="1"/>
  <c r="N242" i="7" s="1"/>
  <c r="L41" i="32"/>
  <c r="K41" i="32"/>
  <c r="H41" i="32"/>
  <c r="B41" i="32"/>
  <c r="L243" i="7" l="1"/>
  <c r="L244" i="7" l="1"/>
  <c r="M46" i="11"/>
  <c r="L46" i="11"/>
  <c r="K46" i="11"/>
  <c r="J46" i="11"/>
  <c r="L245" i="7" l="1"/>
  <c r="G274" i="7"/>
  <c r="L246" i="7" l="1"/>
  <c r="B34" i="11"/>
  <c r="C34" i="11"/>
  <c r="D34" i="11"/>
  <c r="E34" i="11"/>
  <c r="F34" i="11"/>
  <c r="B32" i="11"/>
  <c r="C32" i="11"/>
  <c r="D32" i="11"/>
  <c r="E32" i="11"/>
  <c r="F32" i="11"/>
  <c r="G32" i="11"/>
  <c r="B33" i="11"/>
  <c r="C33" i="11"/>
  <c r="D33" i="11"/>
  <c r="E33" i="11"/>
  <c r="F33" i="11"/>
  <c r="H32" i="11"/>
  <c r="I32" i="11"/>
  <c r="J32" i="11"/>
  <c r="K32" i="11"/>
  <c r="L32" i="11"/>
  <c r="M32" i="11"/>
  <c r="A31" i="11"/>
  <c r="F33" i="17"/>
  <c r="F34" i="17"/>
  <c r="F38" i="17" s="1"/>
  <c r="F36" i="17" s="1"/>
  <c r="L45" i="9"/>
  <c r="L44" i="9"/>
  <c r="L43" i="9"/>
  <c r="J33" i="11"/>
  <c r="I33" i="11"/>
  <c r="H33" i="11"/>
  <c r="L61" i="9" l="1"/>
  <c r="L247" i="7"/>
  <c r="N32" i="11"/>
  <c r="L62" i="9"/>
  <c r="L66" i="9" s="1"/>
  <c r="J34" i="11"/>
  <c r="H34" i="11"/>
  <c r="I34" i="11"/>
  <c r="D31" i="18"/>
  <c r="D33" i="18"/>
  <c r="D32" i="18"/>
  <c r="D35" i="18" s="1"/>
  <c r="G33" i="11"/>
  <c r="L34" i="11"/>
  <c r="K34" i="11"/>
  <c r="G34" i="11"/>
  <c r="M33" i="11"/>
  <c r="M34" i="11"/>
  <c r="F40" i="17"/>
  <c r="L33" i="11"/>
  <c r="K33" i="11"/>
  <c r="I76" i="9"/>
  <c r="K76" i="9" s="1"/>
  <c r="J33" i="9"/>
  <c r="O64" i="7"/>
  <c r="P64" i="7" s="1"/>
  <c r="Q64" i="7" s="1"/>
  <c r="O65" i="7"/>
  <c r="P65" i="7" s="1"/>
  <c r="Q65" i="7" s="1"/>
  <c r="O67" i="7"/>
  <c r="P67" i="7" s="1"/>
  <c r="Q67" i="7" s="1"/>
  <c r="O68" i="7"/>
  <c r="P68" i="7" s="1"/>
  <c r="Q68" i="7" s="1"/>
  <c r="O69" i="7"/>
  <c r="P69" i="7" s="1"/>
  <c r="Q69" i="7" s="1"/>
  <c r="O71" i="7"/>
  <c r="P71" i="7" s="1"/>
  <c r="Q71" i="7" s="1"/>
  <c r="O72" i="7"/>
  <c r="P72" i="7" s="1"/>
  <c r="Q72" i="7" s="1"/>
  <c r="O74" i="7"/>
  <c r="P74" i="7" s="1"/>
  <c r="Q74" i="7" s="1"/>
  <c r="O75" i="7"/>
  <c r="P75" i="7" s="1"/>
  <c r="Q75" i="7" s="1"/>
  <c r="O79" i="7"/>
  <c r="P79" i="7" s="1"/>
  <c r="Q79" i="7" s="1"/>
  <c r="O80" i="7"/>
  <c r="P80" i="7" s="1"/>
  <c r="Q80" i="7" s="1"/>
  <c r="O81" i="7"/>
  <c r="P81" i="7" s="1"/>
  <c r="Q81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2" i="7"/>
  <c r="P102" i="7" s="1"/>
  <c r="Q102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66" i="7"/>
  <c r="P66" i="7" s="1"/>
  <c r="Q66" i="7" s="1"/>
  <c r="O70" i="7"/>
  <c r="P70" i="7" s="1"/>
  <c r="Q70" i="7" s="1"/>
  <c r="O73" i="7"/>
  <c r="P73" i="7" s="1"/>
  <c r="Q73" i="7" s="1"/>
  <c r="O76" i="7"/>
  <c r="P76" i="7" s="1"/>
  <c r="Q76" i="7" s="1"/>
  <c r="O77" i="7"/>
  <c r="P77" i="7" s="1"/>
  <c r="Q77" i="7" s="1"/>
  <c r="O78" i="7"/>
  <c r="P78" i="7" s="1"/>
  <c r="Q78" i="7" s="1"/>
  <c r="O82" i="7"/>
  <c r="P82" i="7" s="1"/>
  <c r="Q82" i="7" s="1"/>
  <c r="O86" i="7"/>
  <c r="P86" i="7" s="1"/>
  <c r="Q86" i="7" s="1"/>
  <c r="O101" i="7"/>
  <c r="P101" i="7" s="1"/>
  <c r="Q101" i="7" s="1"/>
  <c r="O103" i="7"/>
  <c r="P103" i="7" s="1"/>
  <c r="Q103" i="7" s="1"/>
  <c r="O110" i="7"/>
  <c r="P110" i="7" s="1"/>
  <c r="Q110" i="7" s="1"/>
  <c r="L248" i="7" l="1"/>
  <c r="O32" i="11"/>
  <c r="L249" i="7" l="1"/>
  <c r="L285" i="7"/>
  <c r="L250" i="7" l="1"/>
  <c r="L64" i="9"/>
  <c r="L46" i="9" s="1"/>
  <c r="L286" i="7"/>
  <c r="L287" i="7" s="1"/>
  <c r="L288" i="7" s="1"/>
  <c r="L289" i="7" s="1"/>
  <c r="L290" i="7" s="1"/>
  <c r="L291" i="7" s="1"/>
  <c r="L292" i="7" s="1"/>
  <c r="L293" i="7" s="1"/>
  <c r="L294" i="7" s="1"/>
  <c r="L295" i="7" s="1"/>
  <c r="L296" i="7" s="1"/>
  <c r="L299" i="7"/>
  <c r="L300" i="7" s="1"/>
  <c r="L301" i="7" s="1"/>
  <c r="L302" i="7" s="1"/>
  <c r="L303" i="7" s="1"/>
  <c r="L304" i="7" s="1"/>
  <c r="L305" i="7" s="1"/>
  <c r="L306" i="7" s="1"/>
  <c r="L307" i="7" s="1"/>
  <c r="L308" i="7" s="1"/>
  <c r="L309" i="7" s="1"/>
  <c r="L310" i="7" s="1"/>
  <c r="L251" i="7" l="1"/>
  <c r="L69" i="9"/>
  <c r="L77" i="9" s="1"/>
  <c r="L47" i="9"/>
  <c r="L70" i="9" s="1"/>
  <c r="L78" i="9" s="1"/>
  <c r="B16" i="26"/>
  <c r="O123" i="7"/>
  <c r="P123" i="7" s="1"/>
  <c r="Q123" i="7" s="1"/>
  <c r="D6" i="26"/>
  <c r="C6" i="26"/>
  <c r="I254" i="7"/>
  <c r="I246" i="7"/>
  <c r="I245" i="7"/>
  <c r="I244" i="7"/>
  <c r="L23" i="11"/>
  <c r="M45" i="9"/>
  <c r="N43" i="9"/>
  <c r="M42" i="9"/>
  <c r="J15" i="11"/>
  <c r="I34" i="17"/>
  <c r="J43" i="11"/>
  <c r="J23" i="11"/>
  <c r="C22" i="18"/>
  <c r="C23" i="18"/>
  <c r="C24" i="18"/>
  <c r="E24" i="18"/>
  <c r="G31" i="17"/>
  <c r="L37" i="11"/>
  <c r="L51" i="11" s="1"/>
  <c r="H33" i="17"/>
  <c r="M27" i="11"/>
  <c r="M37" i="11"/>
  <c r="M51" i="11" s="1"/>
  <c r="M14" i="11"/>
  <c r="H31" i="17"/>
  <c r="E31" i="17"/>
  <c r="B31" i="17"/>
  <c r="G19" i="9"/>
  <c r="I10" i="11" s="1"/>
  <c r="B24" i="9"/>
  <c r="B25" i="9"/>
  <c r="G273" i="7"/>
  <c r="G272" i="7"/>
  <c r="G271" i="7"/>
  <c r="G15" i="9"/>
  <c r="E10" i="11" s="1"/>
  <c r="I39" i="9"/>
  <c r="J41" i="9"/>
  <c r="G270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5" i="9"/>
  <c r="K34" i="9"/>
  <c r="K36" i="9"/>
  <c r="K37" i="9"/>
  <c r="K38" i="9"/>
  <c r="K39" i="9"/>
  <c r="K40" i="9"/>
  <c r="M41" i="9"/>
  <c r="M37" i="9"/>
  <c r="G27" i="17"/>
  <c r="M39" i="9"/>
  <c r="M40" i="9"/>
  <c r="G29" i="17"/>
  <c r="G30" i="17"/>
  <c r="N41" i="9"/>
  <c r="N40" i="9"/>
  <c r="N39" i="9"/>
  <c r="G259" i="7"/>
  <c r="G260" i="7"/>
  <c r="G261" i="7"/>
  <c r="G262" i="7"/>
  <c r="G263" i="7"/>
  <c r="B4" i="11" s="1"/>
  <c r="G264" i="7"/>
  <c r="G265" i="7"/>
  <c r="G266" i="7"/>
  <c r="G267" i="7"/>
  <c r="F4" i="11" s="1"/>
  <c r="G268" i="7"/>
  <c r="G269" i="7"/>
  <c r="G258" i="7"/>
  <c r="G12" i="9"/>
  <c r="B10" i="11" s="1"/>
  <c r="G13" i="9"/>
  <c r="C10" i="11" s="1"/>
  <c r="G14" i="9"/>
  <c r="D10" i="11" s="1"/>
  <c r="I38" i="11"/>
  <c r="I52" i="11" s="1"/>
  <c r="H38" i="11"/>
  <c r="G38" i="11"/>
  <c r="I43" i="11"/>
  <c r="H43" i="11"/>
  <c r="G43" i="11"/>
  <c r="I28" i="11"/>
  <c r="H28" i="11"/>
  <c r="G28" i="11"/>
  <c r="I23" i="11"/>
  <c r="H23" i="11"/>
  <c r="G23" i="11"/>
  <c r="I19" i="11"/>
  <c r="H19" i="11"/>
  <c r="G19" i="11"/>
  <c r="I42" i="11"/>
  <c r="H42" i="11"/>
  <c r="G42" i="11"/>
  <c r="I37" i="11"/>
  <c r="I51" i="11" s="1"/>
  <c r="H37" i="11"/>
  <c r="H51" i="11" s="1"/>
  <c r="G37" i="11"/>
  <c r="G51" i="11" s="1"/>
  <c r="I27" i="11"/>
  <c r="H27" i="11"/>
  <c r="G27" i="11"/>
  <c r="I22" i="11"/>
  <c r="H22" i="11"/>
  <c r="G22" i="11"/>
  <c r="I18" i="11"/>
  <c r="H18" i="11"/>
  <c r="G18" i="11"/>
  <c r="I14" i="11"/>
  <c r="H14" i="11"/>
  <c r="G14" i="11"/>
  <c r="I15" i="11"/>
  <c r="H15" i="11"/>
  <c r="G15" i="1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C55" i="11"/>
  <c r="E55" i="11"/>
  <c r="F42" i="11"/>
  <c r="B55" i="11"/>
  <c r="D55" i="11"/>
  <c r="F55" i="11"/>
  <c r="M35" i="9"/>
  <c r="E24" i="17"/>
  <c r="E25" i="17"/>
  <c r="E26" i="17"/>
  <c r="E27" i="17"/>
  <c r="E28" i="17"/>
  <c r="E29" i="17"/>
  <c r="E30" i="17"/>
  <c r="J14" i="11"/>
  <c r="J27" i="11"/>
  <c r="J42" i="11"/>
  <c r="B22" i="18"/>
  <c r="B23" i="18"/>
  <c r="E29" i="18"/>
  <c r="E28" i="18"/>
  <c r="E27" i="18"/>
  <c r="C27" i="18"/>
  <c r="C26" i="18"/>
  <c r="E25" i="18"/>
  <c r="C25" i="18"/>
  <c r="H33" i="9"/>
  <c r="I33" i="9"/>
  <c r="K33" i="9"/>
  <c r="C2" i="17"/>
  <c r="D2" i="17"/>
  <c r="B1" i="18" s="1"/>
  <c r="E2" i="17"/>
  <c r="C1" i="18" s="1"/>
  <c r="G2" i="17"/>
  <c r="H2" i="17"/>
  <c r="B2" i="17"/>
  <c r="A33" i="9"/>
  <c r="A50" i="9" s="1"/>
  <c r="A7" i="9"/>
  <c r="G4" i="18"/>
  <c r="B57" i="11" s="1"/>
  <c r="G5" i="18"/>
  <c r="C57" i="11" s="1"/>
  <c r="G3" i="18"/>
  <c r="A41" i="11"/>
  <c r="A36" i="11"/>
  <c r="A26" i="11"/>
  <c r="A21" i="11"/>
  <c r="A17" i="11"/>
  <c r="A13" i="11"/>
  <c r="B14" i="11"/>
  <c r="B18" i="11"/>
  <c r="B22" i="11"/>
  <c r="B27" i="11"/>
  <c r="B37" i="11"/>
  <c r="B51" i="11" s="1"/>
  <c r="B42" i="11"/>
  <c r="C14" i="11"/>
  <c r="C18" i="11"/>
  <c r="C22" i="11"/>
  <c r="C27" i="11"/>
  <c r="C37" i="11"/>
  <c r="C51" i="11" s="1"/>
  <c r="D14" i="11"/>
  <c r="D18" i="11"/>
  <c r="D22" i="11"/>
  <c r="D27" i="11"/>
  <c r="D37" i="11"/>
  <c r="D51" i="11" s="1"/>
  <c r="D42" i="11"/>
  <c r="E14" i="11"/>
  <c r="E18" i="11"/>
  <c r="E22" i="11"/>
  <c r="E27" i="11"/>
  <c r="E37" i="11"/>
  <c r="E51" i="11" s="1"/>
  <c r="F14" i="11"/>
  <c r="F18" i="11"/>
  <c r="F22" i="11"/>
  <c r="F27" i="11"/>
  <c r="F37" i="11"/>
  <c r="F51" i="11" s="1"/>
  <c r="B15" i="11"/>
  <c r="B19" i="11"/>
  <c r="B23" i="11"/>
  <c r="B28" i="11"/>
  <c r="B38" i="11"/>
  <c r="B43" i="11"/>
  <c r="C15" i="11"/>
  <c r="C19" i="11"/>
  <c r="C23" i="11"/>
  <c r="C28" i="11"/>
  <c r="C38" i="11"/>
  <c r="C43" i="11"/>
  <c r="D15" i="11"/>
  <c r="D19" i="11"/>
  <c r="D23" i="11"/>
  <c r="D28" i="11"/>
  <c r="D38" i="11"/>
  <c r="D43" i="11"/>
  <c r="E15" i="11"/>
  <c r="E19" i="11"/>
  <c r="E23" i="11"/>
  <c r="E28" i="11"/>
  <c r="E38" i="11"/>
  <c r="E43" i="11"/>
  <c r="F15" i="11"/>
  <c r="F19" i="11"/>
  <c r="F23" i="11"/>
  <c r="F28" i="11"/>
  <c r="F38" i="11"/>
  <c r="F43" i="11"/>
  <c r="B24" i="11"/>
  <c r="B29" i="11"/>
  <c r="B39" i="11"/>
  <c r="B53" i="11" s="1"/>
  <c r="C24" i="11"/>
  <c r="C29" i="11"/>
  <c r="C39" i="11"/>
  <c r="C53" i="11" s="1"/>
  <c r="D29" i="11"/>
  <c r="D39" i="11"/>
  <c r="D53" i="11" s="1"/>
  <c r="E29" i="11"/>
  <c r="F29" i="11"/>
  <c r="G39" i="11"/>
  <c r="G53" i="11" s="1"/>
  <c r="I39" i="11"/>
  <c r="I53" i="11" s="1"/>
  <c r="H39" i="11"/>
  <c r="H53" i="11" s="1"/>
  <c r="G29" i="11"/>
  <c r="B27" i="18"/>
  <c r="G24" i="11"/>
  <c r="E39" i="11"/>
  <c r="E53" i="11" s="1"/>
  <c r="J18" i="11"/>
  <c r="E42" i="11"/>
  <c r="C42" i="11"/>
  <c r="G28" i="17"/>
  <c r="D28" i="17"/>
  <c r="J39" i="9"/>
  <c r="H37" i="9"/>
  <c r="B26" i="17"/>
  <c r="K41" i="9"/>
  <c r="G16" i="9"/>
  <c r="J38" i="9"/>
  <c r="M38" i="9"/>
  <c r="J35" i="9"/>
  <c r="D24" i="17"/>
  <c r="I36" i="9"/>
  <c r="C25" i="17"/>
  <c r="G17" i="9"/>
  <c r="M36" i="9"/>
  <c r="C29" i="17"/>
  <c r="I40" i="9"/>
  <c r="H40" i="9"/>
  <c r="G18" i="9"/>
  <c r="H29" i="17"/>
  <c r="H30" i="17"/>
  <c r="I34" i="9"/>
  <c r="G26" i="17"/>
  <c r="C30" i="17"/>
  <c r="B28" i="17"/>
  <c r="B24" i="17"/>
  <c r="C56" i="11"/>
  <c r="H55" i="11"/>
  <c r="I56" i="9"/>
  <c r="G34" i="17"/>
  <c r="M18" i="11"/>
  <c r="L42" i="11"/>
  <c r="K38" i="11"/>
  <c r="K52" i="11" s="1"/>
  <c r="K28" i="11"/>
  <c r="J43" i="9"/>
  <c r="I43" i="9"/>
  <c r="K15" i="11"/>
  <c r="K29" i="11"/>
  <c r="E34" i="17"/>
  <c r="H32" i="17"/>
  <c r="K42" i="11"/>
  <c r="K22" i="11"/>
  <c r="M23" i="11"/>
  <c r="M15" i="11"/>
  <c r="N45" i="9"/>
  <c r="M19" i="11"/>
  <c r="K27" i="11"/>
  <c r="C33" i="17"/>
  <c r="B32" i="17"/>
  <c r="K37" i="11"/>
  <c r="K51" i="11" s="1"/>
  <c r="E26" i="18"/>
  <c r="B25" i="18"/>
  <c r="G7" i="18"/>
  <c r="E57" i="11" s="1"/>
  <c r="I32" i="17"/>
  <c r="B34" i="17"/>
  <c r="J37" i="11"/>
  <c r="J51" i="11" s="1"/>
  <c r="L15" i="11"/>
  <c r="L28" i="11"/>
  <c r="L19" i="11"/>
  <c r="L38" i="11"/>
  <c r="L52" i="11" s="1"/>
  <c r="B14" i="9"/>
  <c r="N263" i="7"/>
  <c r="N259" i="7"/>
  <c r="N258" i="7"/>
  <c r="N260" i="7"/>
  <c r="N265" i="7"/>
  <c r="N264" i="7"/>
  <c r="N261" i="7"/>
  <c r="N262" i="7"/>
  <c r="G33" i="17"/>
  <c r="G32" i="17"/>
  <c r="D34" i="17"/>
  <c r="L22" i="11"/>
  <c r="K14" i="11"/>
  <c r="L14" i="11"/>
  <c r="B33" i="17"/>
  <c r="H34" i="17"/>
  <c r="M42" i="11"/>
  <c r="L27" i="11"/>
  <c r="C34" i="17"/>
  <c r="L18" i="11"/>
  <c r="C32" i="17"/>
  <c r="K18" i="11"/>
  <c r="L252" i="7" l="1"/>
  <c r="G38" i="17"/>
  <c r="K54" i="9"/>
  <c r="F6" i="26"/>
  <c r="D56" i="11"/>
  <c r="F56" i="11"/>
  <c r="F10" i="11"/>
  <c r="E56" i="11"/>
  <c r="B10" i="26"/>
  <c r="M43" i="9"/>
  <c r="M60" i="9" s="1"/>
  <c r="L24" i="11"/>
  <c r="M39" i="11"/>
  <c r="J29" i="11"/>
  <c r="J24" i="11"/>
  <c r="J48" i="11"/>
  <c r="M29" i="11"/>
  <c r="S21" i="32"/>
  <c r="Y10" i="32"/>
  <c r="X10" i="32"/>
  <c r="W10" i="32"/>
  <c r="H301" i="7" s="1"/>
  <c r="V10" i="32"/>
  <c r="H287" i="7" s="1"/>
  <c r="V12" i="32"/>
  <c r="H289" i="7" s="1"/>
  <c r="Y12" i="32"/>
  <c r="X12" i="32"/>
  <c r="W12" i="32"/>
  <c r="H303" i="7" s="1"/>
  <c r="V14" i="32"/>
  <c r="H291" i="7" s="1"/>
  <c r="Y14" i="32"/>
  <c r="X14" i="32"/>
  <c r="W14" i="32"/>
  <c r="H305" i="7" s="1"/>
  <c r="V16" i="32"/>
  <c r="H293" i="7" s="1"/>
  <c r="Y16" i="32"/>
  <c r="X16" i="32"/>
  <c r="W16" i="32"/>
  <c r="H307" i="7" s="1"/>
  <c r="Y18" i="32"/>
  <c r="X18" i="32"/>
  <c r="W18" i="32"/>
  <c r="H309" i="7" s="1"/>
  <c r="V18" i="32"/>
  <c r="H295" i="7" s="1"/>
  <c r="T21" i="32"/>
  <c r="U21" i="32"/>
  <c r="K24" i="11"/>
  <c r="K48" i="11"/>
  <c r="M48" i="11"/>
  <c r="Y30" i="32"/>
  <c r="W30" i="32"/>
  <c r="I301" i="7" s="1"/>
  <c r="X30" i="32"/>
  <c r="V30" i="32"/>
  <c r="I287" i="7" s="1"/>
  <c r="Y32" i="32"/>
  <c r="V32" i="32"/>
  <c r="I289" i="7" s="1"/>
  <c r="X32" i="32"/>
  <c r="W32" i="32"/>
  <c r="I303" i="7" s="1"/>
  <c r="Y34" i="32"/>
  <c r="W34" i="32"/>
  <c r="I305" i="7" s="1"/>
  <c r="X34" i="32"/>
  <c r="V34" i="32"/>
  <c r="I291" i="7" s="1"/>
  <c r="Y36" i="32"/>
  <c r="V36" i="32"/>
  <c r="I293" i="7" s="1"/>
  <c r="W36" i="32"/>
  <c r="I307" i="7" s="1"/>
  <c r="X36" i="32"/>
  <c r="Y38" i="32"/>
  <c r="W38" i="32"/>
  <c r="I309" i="7" s="1"/>
  <c r="X38" i="32"/>
  <c r="V38" i="32"/>
  <c r="I295" i="7" s="1"/>
  <c r="T41" i="32"/>
  <c r="U41" i="32"/>
  <c r="L48" i="11"/>
  <c r="V9" i="32"/>
  <c r="H286" i="7" s="1"/>
  <c r="W9" i="32"/>
  <c r="H300" i="7" s="1"/>
  <c r="Y9" i="32"/>
  <c r="X9" i="32"/>
  <c r="Y11" i="32"/>
  <c r="X11" i="32"/>
  <c r="W11" i="32"/>
  <c r="H302" i="7" s="1"/>
  <c r="V11" i="32"/>
  <c r="H288" i="7" s="1"/>
  <c r="V13" i="32"/>
  <c r="H290" i="7" s="1"/>
  <c r="Y13" i="32"/>
  <c r="X13" i="32"/>
  <c r="W13" i="32"/>
  <c r="H304" i="7" s="1"/>
  <c r="Y15" i="32"/>
  <c r="X15" i="32"/>
  <c r="W15" i="32"/>
  <c r="H306" i="7" s="1"/>
  <c r="V15" i="32"/>
  <c r="H292" i="7" s="1"/>
  <c r="W17" i="32"/>
  <c r="H308" i="7" s="1"/>
  <c r="V17" i="32"/>
  <c r="H294" i="7" s="1"/>
  <c r="Y17" i="32"/>
  <c r="X17" i="32"/>
  <c r="Y19" i="32"/>
  <c r="X19" i="32"/>
  <c r="W19" i="32"/>
  <c r="H310" i="7" s="1"/>
  <c r="V19" i="32"/>
  <c r="H296" i="7" s="1"/>
  <c r="Y29" i="32"/>
  <c r="X29" i="32"/>
  <c r="W29" i="32"/>
  <c r="I300" i="7" s="1"/>
  <c r="V29" i="32"/>
  <c r="I286" i="7" s="1"/>
  <c r="W31" i="32"/>
  <c r="I302" i="7" s="1"/>
  <c r="V31" i="32"/>
  <c r="I288" i="7" s="1"/>
  <c r="Y31" i="32"/>
  <c r="X31" i="32"/>
  <c r="Y33" i="32"/>
  <c r="X33" i="32"/>
  <c r="W33" i="32"/>
  <c r="I304" i="7" s="1"/>
  <c r="V33" i="32"/>
  <c r="I290" i="7" s="1"/>
  <c r="W35" i="32"/>
  <c r="I306" i="7" s="1"/>
  <c r="V35" i="32"/>
  <c r="I292" i="7" s="1"/>
  <c r="Y35" i="32"/>
  <c r="X35" i="32"/>
  <c r="Y37" i="32"/>
  <c r="X37" i="32"/>
  <c r="W37" i="32"/>
  <c r="I308" i="7" s="1"/>
  <c r="V37" i="32"/>
  <c r="I294" i="7" s="1"/>
  <c r="V39" i="32"/>
  <c r="I296" i="7" s="1"/>
  <c r="Y39" i="32"/>
  <c r="W39" i="32"/>
  <c r="I310" i="7" s="1"/>
  <c r="X39" i="32"/>
  <c r="H4" i="11"/>
  <c r="B22" i="9"/>
  <c r="L4" i="11"/>
  <c r="B16" i="9"/>
  <c r="F16" i="9" s="1"/>
  <c r="B8" i="9"/>
  <c r="B20" i="9"/>
  <c r="J4" i="11"/>
  <c r="B7" i="9"/>
  <c r="E4" i="11"/>
  <c r="B11" i="9"/>
  <c r="K4" i="11"/>
  <c r="B9" i="9"/>
  <c r="I4" i="11"/>
  <c r="I251" i="7"/>
  <c r="I248" i="7"/>
  <c r="I253" i="7"/>
  <c r="I249" i="7"/>
  <c r="I247" i="7"/>
  <c r="I252" i="7"/>
  <c r="C11" i="9"/>
  <c r="G10" i="11"/>
  <c r="H10" i="11"/>
  <c r="M57" i="9"/>
  <c r="J54" i="9"/>
  <c r="H52" i="9"/>
  <c r="I57" i="9"/>
  <c r="C33" i="18"/>
  <c r="I55" i="11"/>
  <c r="I250" i="7"/>
  <c r="H42" i="9"/>
  <c r="I243" i="7"/>
  <c r="I54" i="9"/>
  <c r="H58" i="9"/>
  <c r="J57" i="9"/>
  <c r="K39" i="11"/>
  <c r="K53" i="11" s="1"/>
  <c r="N42" i="9"/>
  <c r="N59" i="9" s="1"/>
  <c r="O42" i="9"/>
  <c r="J39" i="11"/>
  <c r="J53" i="11" s="1"/>
  <c r="O43" i="9"/>
  <c r="B31" i="18"/>
  <c r="K43" i="11"/>
  <c r="K45" i="9"/>
  <c r="G15" i="18"/>
  <c r="H43" i="9"/>
  <c r="I44" i="9"/>
  <c r="I61" i="9" s="1"/>
  <c r="J55" i="9"/>
  <c r="O44" i="9"/>
  <c r="E31" i="18"/>
  <c r="M44" i="9"/>
  <c r="C31" i="18"/>
  <c r="M28" i="11"/>
  <c r="K44" i="9"/>
  <c r="K23" i="11"/>
  <c r="H44" i="9"/>
  <c r="H61" i="9" s="1"/>
  <c r="I53" i="9"/>
  <c r="G56" i="11"/>
  <c r="H45" i="9"/>
  <c r="I45" i="9"/>
  <c r="H54" i="9"/>
  <c r="I58" i="9"/>
  <c r="K53" i="9"/>
  <c r="M58" i="9"/>
  <c r="H57" i="9"/>
  <c r="H53" i="9"/>
  <c r="J52" i="9"/>
  <c r="J58" i="9"/>
  <c r="M55" i="9"/>
  <c r="M54" i="9"/>
  <c r="M56" i="9"/>
  <c r="G4" i="11"/>
  <c r="B17" i="9"/>
  <c r="O258" i="7"/>
  <c r="P258" i="7" s="1"/>
  <c r="O261" i="7"/>
  <c r="P261" i="7" s="1"/>
  <c r="O260" i="7"/>
  <c r="P260" i="7" s="1"/>
  <c r="O263" i="7"/>
  <c r="P263" i="7" s="1"/>
  <c r="B21" i="9"/>
  <c r="C7" i="9"/>
  <c r="O262" i="7"/>
  <c r="P262" i="7" s="1"/>
  <c r="C14" i="9"/>
  <c r="D14" i="9" s="1"/>
  <c r="E14" i="9" s="1"/>
  <c r="O264" i="7"/>
  <c r="P264" i="7" s="1"/>
  <c r="B15" i="9"/>
  <c r="O259" i="7"/>
  <c r="P259" i="7" s="1"/>
  <c r="C10" i="9"/>
  <c r="C8" i="9"/>
  <c r="C5" i="11"/>
  <c r="C13" i="9"/>
  <c r="B19" i="9"/>
  <c r="C9" i="9"/>
  <c r="D4" i="11"/>
  <c r="M59" i="9"/>
  <c r="N44" i="9"/>
  <c r="N62" i="9" s="1"/>
  <c r="N66" i="9" s="1"/>
  <c r="L43" i="11"/>
  <c r="J56" i="9"/>
  <c r="G13" i="18"/>
  <c r="J28" i="11"/>
  <c r="C30" i="18"/>
  <c r="O45" i="9"/>
  <c r="F39" i="11"/>
  <c r="F53" i="11" s="1"/>
  <c r="G10" i="18"/>
  <c r="H24" i="11"/>
  <c r="B28" i="18"/>
  <c r="G55" i="11"/>
  <c r="K42" i="9"/>
  <c r="D5" i="11"/>
  <c r="O265" i="7"/>
  <c r="P265" i="7" s="1"/>
  <c r="M43" i="11"/>
  <c r="B30" i="18"/>
  <c r="G12" i="18"/>
  <c r="B12" i="9"/>
  <c r="N58" i="9"/>
  <c r="K55" i="9"/>
  <c r="H55" i="9"/>
  <c r="H56" i="9"/>
  <c r="H38" i="17"/>
  <c r="G11" i="18"/>
  <c r="I24" i="11"/>
  <c r="B29" i="18"/>
  <c r="D31" i="17"/>
  <c r="J42" i="9"/>
  <c r="J60" i="9" s="1"/>
  <c r="J22" i="11"/>
  <c r="C12" i="9"/>
  <c r="B5" i="11"/>
  <c r="B6" i="11" s="1"/>
  <c r="E24" i="11"/>
  <c r="I29" i="11"/>
  <c r="C29" i="18"/>
  <c r="H56" i="11"/>
  <c r="K58" i="9"/>
  <c r="B18" i="9"/>
  <c r="K43" i="9"/>
  <c r="E32" i="17"/>
  <c r="E33" i="17"/>
  <c r="J38" i="11"/>
  <c r="J52" i="11" s="1"/>
  <c r="E30" i="18"/>
  <c r="M38" i="11"/>
  <c r="E33" i="18"/>
  <c r="D24" i="11"/>
  <c r="G9" i="18"/>
  <c r="C28" i="18"/>
  <c r="C34" i="18" s="1"/>
  <c r="H29" i="11"/>
  <c r="B56" i="11"/>
  <c r="K56" i="9"/>
  <c r="K57" i="9"/>
  <c r="I52" i="9"/>
  <c r="G6" i="18"/>
  <c r="D57" i="11" s="1"/>
  <c r="N57" i="9"/>
  <c r="I56" i="11"/>
  <c r="B24" i="18"/>
  <c r="C31" i="17"/>
  <c r="C38" i="17" s="1"/>
  <c r="I55" i="9"/>
  <c r="B10" i="9"/>
  <c r="K52" i="9"/>
  <c r="J53" i="9"/>
  <c r="E1" i="18"/>
  <c r="F14" i="9"/>
  <c r="M4" i="11"/>
  <c r="B23" i="9"/>
  <c r="C4" i="11"/>
  <c r="G278" i="7"/>
  <c r="B13" i="9"/>
  <c r="M24" i="11"/>
  <c r="B33" i="18"/>
  <c r="D32" i="17"/>
  <c r="D33" i="17"/>
  <c r="L55" i="11"/>
  <c r="E32" i="18"/>
  <c r="L39" i="11"/>
  <c r="L53" i="11" s="1"/>
  <c r="L29" i="11"/>
  <c r="C32" i="18"/>
  <c r="G23" i="9"/>
  <c r="M10" i="11" s="1"/>
  <c r="J45" i="9"/>
  <c r="G14" i="18"/>
  <c r="K19" i="11"/>
  <c r="G21" i="9"/>
  <c r="K10" i="11" s="1"/>
  <c r="M22" i="11"/>
  <c r="M55" i="11"/>
  <c r="I42" i="9"/>
  <c r="J19" i="11"/>
  <c r="G20" i="9"/>
  <c r="J10" i="11" s="1"/>
  <c r="I33" i="17"/>
  <c r="I38" i="17" s="1"/>
  <c r="J44" i="9"/>
  <c r="J61" i="9" s="1"/>
  <c r="B32" i="18"/>
  <c r="G22" i="9"/>
  <c r="L10" i="11" s="1"/>
  <c r="E35" i="18" l="1"/>
  <c r="D11" i="9"/>
  <c r="E11" i="9" s="1"/>
  <c r="M53" i="11"/>
  <c r="H62" i="9"/>
  <c r="L253" i="7"/>
  <c r="C35" i="18"/>
  <c r="O60" i="9"/>
  <c r="O124" i="7"/>
  <c r="P124" i="7" s="1"/>
  <c r="Q124" i="7" s="1"/>
  <c r="D8" i="9"/>
  <c r="E8" i="9" s="1"/>
  <c r="D9" i="9"/>
  <c r="E9" i="9" s="1"/>
  <c r="D7" i="9"/>
  <c r="E7" i="9" s="1"/>
  <c r="M61" i="9"/>
  <c r="U22" i="32"/>
  <c r="C10" i="26"/>
  <c r="Y28" i="32"/>
  <c r="V28" i="32"/>
  <c r="I285" i="7" s="1"/>
  <c r="X28" i="32"/>
  <c r="W28" i="32"/>
  <c r="I299" i="7" s="1"/>
  <c r="V8" i="32"/>
  <c r="H285" i="7" s="1"/>
  <c r="W8" i="32"/>
  <c r="H299" i="7" s="1"/>
  <c r="Y8" i="32"/>
  <c r="X8" i="32"/>
  <c r="M57" i="11"/>
  <c r="S41" i="32"/>
  <c r="U42" i="32" s="1"/>
  <c r="L57" i="11"/>
  <c r="Q259" i="7"/>
  <c r="Q258" i="7"/>
  <c r="Q262" i="7"/>
  <c r="Q261" i="7"/>
  <c r="Q260" i="7"/>
  <c r="Q265" i="7"/>
  <c r="Q264" i="7"/>
  <c r="Q263" i="7"/>
  <c r="J47" i="11"/>
  <c r="L47" i="11"/>
  <c r="K47" i="11"/>
  <c r="M47" i="11"/>
  <c r="M52" i="11" s="1"/>
  <c r="F20" i="9"/>
  <c r="J56" i="11"/>
  <c r="M56" i="11"/>
  <c r="F22" i="9"/>
  <c r="L56" i="11"/>
  <c r="K56" i="11"/>
  <c r="N60" i="9"/>
  <c r="H59" i="9"/>
  <c r="H246" i="7"/>
  <c r="N246" i="7" s="1"/>
  <c r="H249" i="7"/>
  <c r="N249" i="7" s="1"/>
  <c r="H244" i="7"/>
  <c r="N244" i="7" s="1"/>
  <c r="H247" i="7"/>
  <c r="N247" i="7" s="1"/>
  <c r="H245" i="7"/>
  <c r="N245" i="7" s="1"/>
  <c r="H243" i="7"/>
  <c r="N243" i="7" s="1"/>
  <c r="H254" i="7"/>
  <c r="H252" i="7"/>
  <c r="N252" i="7" s="1"/>
  <c r="H250" i="7"/>
  <c r="N250" i="7" s="1"/>
  <c r="H253" i="7"/>
  <c r="N253" i="7" s="1"/>
  <c r="H248" i="7"/>
  <c r="N248" i="7" s="1"/>
  <c r="H251" i="7"/>
  <c r="N251" i="7" s="1"/>
  <c r="K61" i="9"/>
  <c r="O61" i="9"/>
  <c r="H60" i="9"/>
  <c r="K62" i="9"/>
  <c r="O62" i="9"/>
  <c r="I62" i="9"/>
  <c r="J57" i="11"/>
  <c r="M62" i="9"/>
  <c r="N61" i="9"/>
  <c r="K60" i="9"/>
  <c r="F23" i="9"/>
  <c r="F17" i="9"/>
  <c r="F21" i="9"/>
  <c r="D10" i="9"/>
  <c r="E10" i="9" s="1"/>
  <c r="F15" i="9"/>
  <c r="C6" i="11"/>
  <c r="D12" i="9"/>
  <c r="E12" i="9" s="1"/>
  <c r="F12" i="9"/>
  <c r="D6" i="11"/>
  <c r="F19" i="9"/>
  <c r="C36" i="17"/>
  <c r="C40" i="17"/>
  <c r="J55" i="11"/>
  <c r="G57" i="11"/>
  <c r="G36" i="17"/>
  <c r="G40" i="17"/>
  <c r="E38" i="17"/>
  <c r="F18" i="9"/>
  <c r="I57" i="11"/>
  <c r="H57" i="11"/>
  <c r="K57" i="11"/>
  <c r="D38" i="17"/>
  <c r="J59" i="9"/>
  <c r="G8" i="18"/>
  <c r="F57" i="11" s="1"/>
  <c r="B26" i="18"/>
  <c r="B35" i="18" s="1"/>
  <c r="F24" i="11"/>
  <c r="H36" i="17"/>
  <c r="H40" i="17"/>
  <c r="K59" i="9"/>
  <c r="O125" i="7"/>
  <c r="P125" i="7" s="1"/>
  <c r="Q125" i="7" s="1"/>
  <c r="F13" i="9"/>
  <c r="D13" i="9"/>
  <c r="E13" i="9" s="1"/>
  <c r="I59" i="9"/>
  <c r="I60" i="9"/>
  <c r="I36" i="17"/>
  <c r="N46" i="11" s="1"/>
  <c r="I40" i="17"/>
  <c r="K55" i="11"/>
  <c r="J62" i="9"/>
  <c r="O66" i="9" l="1"/>
  <c r="L254" i="7"/>
  <c r="N254" i="7" s="1"/>
  <c r="F27" i="9"/>
  <c r="D36" i="17"/>
  <c r="N22" i="11" s="1"/>
  <c r="M66" i="9"/>
  <c r="K66" i="9"/>
  <c r="H66" i="9"/>
  <c r="C16" i="26"/>
  <c r="J66" i="9"/>
  <c r="D40" i="17"/>
  <c r="O18" i="11"/>
  <c r="N18" i="11"/>
  <c r="N37" i="11"/>
  <c r="O126" i="7"/>
  <c r="P126" i="7" s="1"/>
  <c r="Q126" i="7" s="1"/>
  <c r="N42" i="11"/>
  <c r="O42" i="11"/>
  <c r="E40" i="17"/>
  <c r="I66" i="9"/>
  <c r="O46" i="11"/>
  <c r="N51" i="11" l="1"/>
  <c r="O22" i="11"/>
  <c r="O51" i="11" s="1"/>
  <c r="N64" i="9"/>
  <c r="N46" i="9" s="1"/>
  <c r="N47" i="9" s="1"/>
  <c r="N70" i="9" s="1"/>
  <c r="J64" i="9"/>
  <c r="J46" i="9" s="1"/>
  <c r="J69" i="9" s="1"/>
  <c r="M64" i="9"/>
  <c r="M46" i="9" s="1"/>
  <c r="M47" i="9" s="1"/>
  <c r="M70" i="9" s="1"/>
  <c r="H64" i="9"/>
  <c r="H46" i="9" s="1"/>
  <c r="K64" i="9"/>
  <c r="K46" i="9" s="1"/>
  <c r="K47" i="9" s="1"/>
  <c r="O64" i="9"/>
  <c r="O46" i="9" s="1"/>
  <c r="O69" i="9" s="1"/>
  <c r="O37" i="11"/>
  <c r="O127" i="7"/>
  <c r="P127" i="7" s="1"/>
  <c r="Q127" i="7" s="1"/>
  <c r="E18" i="17"/>
  <c r="O27" i="11" s="1"/>
  <c r="N27" i="11"/>
  <c r="I64" i="9"/>
  <c r="I46" i="9" s="1"/>
  <c r="O47" i="9" l="1"/>
  <c r="O70" i="9" s="1"/>
  <c r="H47" i="9"/>
  <c r="N69" i="9"/>
  <c r="N77" i="9" s="1"/>
  <c r="K69" i="9"/>
  <c r="K77" i="9" s="1"/>
  <c r="M69" i="9"/>
  <c r="M77" i="9" s="1"/>
  <c r="J47" i="9"/>
  <c r="J70" i="9" s="1"/>
  <c r="J78" i="9" s="1"/>
  <c r="O77" i="9"/>
  <c r="R73" i="9"/>
  <c r="M78" i="9"/>
  <c r="O128" i="7"/>
  <c r="P128" i="7" s="1"/>
  <c r="Q128" i="7" s="1"/>
  <c r="K70" i="9"/>
  <c r="N78" i="9"/>
  <c r="O78" i="9"/>
  <c r="I47" i="9"/>
  <c r="I70" i="9" s="1"/>
  <c r="I69" i="9"/>
  <c r="J77" i="9"/>
  <c r="R74" i="9" l="1"/>
  <c r="K78" i="9"/>
  <c r="M285" i="7"/>
  <c r="N285" i="7" s="1"/>
  <c r="O129" i="7"/>
  <c r="P129" i="7" s="1"/>
  <c r="Q129" i="7" s="1"/>
  <c r="I77" i="9"/>
  <c r="I78" i="9"/>
  <c r="M299" i="7" l="1"/>
  <c r="M286" i="7"/>
  <c r="O130" i="7"/>
  <c r="P130" i="7" s="1"/>
  <c r="Q130" i="7" s="1"/>
  <c r="M287" i="7" l="1"/>
  <c r="N286" i="7"/>
  <c r="M300" i="7"/>
  <c r="N299" i="7"/>
  <c r="O131" i="7"/>
  <c r="P131" i="7" s="1"/>
  <c r="Q131" i="7" s="1"/>
  <c r="M301" i="7" l="1"/>
  <c r="N300" i="7"/>
  <c r="M288" i="7"/>
  <c r="N287" i="7"/>
  <c r="O132" i="7"/>
  <c r="P132" i="7" s="1"/>
  <c r="Q132" i="7" s="1"/>
  <c r="M289" i="7" l="1"/>
  <c r="N288" i="7"/>
  <c r="M302" i="7"/>
  <c r="N301" i="7"/>
  <c r="O133" i="7"/>
  <c r="P133" i="7" s="1"/>
  <c r="Q133" i="7" s="1"/>
  <c r="M303" i="7" l="1"/>
  <c r="N302" i="7"/>
  <c r="M290" i="7"/>
  <c r="N289" i="7"/>
  <c r="M291" i="7" l="1"/>
  <c r="N290" i="7"/>
  <c r="M304" i="7"/>
  <c r="N303" i="7"/>
  <c r="O134" i="7"/>
  <c r="P134" i="7" s="1"/>
  <c r="Q134" i="7" s="1"/>
  <c r="N266" i="7"/>
  <c r="M305" i="7" l="1"/>
  <c r="N304" i="7"/>
  <c r="M292" i="7"/>
  <c r="N291" i="7"/>
  <c r="E5" i="11"/>
  <c r="E6" i="11" s="1"/>
  <c r="O266" i="7"/>
  <c r="P266" i="7" s="1"/>
  <c r="Q266" i="7" s="1"/>
  <c r="C15" i="9"/>
  <c r="D15" i="9" s="1"/>
  <c r="E15" i="9" s="1"/>
  <c r="M293" i="7" l="1"/>
  <c r="N292" i="7"/>
  <c r="M306" i="7"/>
  <c r="N305" i="7"/>
  <c r="O135" i="7"/>
  <c r="P135" i="7" s="1"/>
  <c r="Q135" i="7" s="1"/>
  <c r="O136" i="7"/>
  <c r="P136" i="7" s="1"/>
  <c r="Q136" i="7" s="1"/>
  <c r="M294" i="7" l="1"/>
  <c r="N293" i="7"/>
  <c r="M307" i="7"/>
  <c r="N306" i="7"/>
  <c r="M295" i="7" l="1"/>
  <c r="N294" i="7"/>
  <c r="M308" i="7"/>
  <c r="N307" i="7"/>
  <c r="O138" i="7"/>
  <c r="P138" i="7" s="1"/>
  <c r="Q138" i="7" s="1"/>
  <c r="M309" i="7" l="1"/>
  <c r="N308" i="7"/>
  <c r="M296" i="7"/>
  <c r="N296" i="7" s="1"/>
  <c r="N295" i="7"/>
  <c r="O137" i="7"/>
  <c r="P137" i="7" s="1"/>
  <c r="Q137" i="7" s="1"/>
  <c r="O139" i="7"/>
  <c r="P139" i="7" s="1"/>
  <c r="Q139" i="7" s="1"/>
  <c r="M310" i="7" l="1"/>
  <c r="N310" i="7" s="1"/>
  <c r="N309" i="7"/>
  <c r="O140" i="7"/>
  <c r="P140" i="7" s="1"/>
  <c r="Q140" i="7" s="1"/>
  <c r="O141" i="7" l="1"/>
  <c r="P141" i="7" s="1"/>
  <c r="Q141" i="7" s="1"/>
  <c r="O142" i="7" l="1"/>
  <c r="P142" i="7" s="1"/>
  <c r="Q142" i="7" s="1"/>
  <c r="O143" i="7"/>
  <c r="P143" i="7" s="1"/>
  <c r="Q143" i="7" s="1"/>
  <c r="O144" i="7" l="1"/>
  <c r="P144" i="7" s="1"/>
  <c r="Q144" i="7" s="1"/>
  <c r="O145" i="7" l="1"/>
  <c r="P145" i="7" s="1"/>
  <c r="Q145" i="7" s="1"/>
  <c r="O146" i="7" l="1"/>
  <c r="P146" i="7" s="1"/>
  <c r="Q146" i="7" s="1"/>
  <c r="N267" i="7"/>
  <c r="F5" i="11" l="1"/>
  <c r="F6" i="11" s="1"/>
  <c r="C16" i="9"/>
  <c r="D16" i="9" s="1"/>
  <c r="E16" i="9" s="1"/>
  <c r="O267" i="7"/>
  <c r="P267" i="7" s="1"/>
  <c r="Q267" i="7" s="1"/>
  <c r="O147" i="7" l="1"/>
  <c r="P147" i="7" s="1"/>
  <c r="Q147" i="7" s="1"/>
  <c r="O148" i="7"/>
  <c r="P148" i="7" s="1"/>
  <c r="Q148" i="7" s="1"/>
  <c r="O149" i="7" l="1"/>
  <c r="P149" i="7" s="1"/>
  <c r="Q149" i="7" s="1"/>
  <c r="O150" i="7" l="1"/>
  <c r="P150" i="7" s="1"/>
  <c r="Q150" i="7" s="1"/>
  <c r="O151" i="7"/>
  <c r="P151" i="7" s="1"/>
  <c r="Q151" i="7" s="1"/>
  <c r="O152" i="7" l="1"/>
  <c r="P152" i="7" s="1"/>
  <c r="Q152" i="7" s="1"/>
  <c r="O153" i="7" l="1"/>
  <c r="P153" i="7" s="1"/>
  <c r="Q153" i="7" s="1"/>
  <c r="O154" i="7" l="1"/>
  <c r="P154" i="7" s="1"/>
  <c r="Q154" i="7" s="1"/>
  <c r="O155" i="7" l="1"/>
  <c r="P155" i="7" s="1"/>
  <c r="Q155" i="7" s="1"/>
  <c r="O156" i="7" l="1"/>
  <c r="P156" i="7" s="1"/>
  <c r="Q156" i="7" s="1"/>
  <c r="O157" i="7" l="1"/>
  <c r="P157" i="7" s="1"/>
  <c r="Q157" i="7" s="1"/>
  <c r="O158" i="7" l="1"/>
  <c r="P158" i="7" s="1"/>
  <c r="Q158" i="7" s="1"/>
  <c r="N268" i="7"/>
  <c r="O268" i="7" l="1"/>
  <c r="P268" i="7" s="1"/>
  <c r="Q268" i="7" s="1"/>
  <c r="G5" i="11"/>
  <c r="G6" i="11" s="1"/>
  <c r="C17" i="9"/>
  <c r="D17" i="9" s="1"/>
  <c r="E17" i="9" s="1"/>
  <c r="O159" i="7" l="1"/>
  <c r="P159" i="7" s="1"/>
  <c r="Q159" i="7" s="1"/>
  <c r="O161" i="7" l="1"/>
  <c r="P161" i="7" s="1"/>
  <c r="Q161" i="7" s="1"/>
  <c r="O162" i="7" l="1"/>
  <c r="P162" i="7" s="1"/>
  <c r="Q162" i="7" s="1"/>
  <c r="O160" i="7"/>
  <c r="P160" i="7" s="1"/>
  <c r="Q160" i="7" s="1"/>
  <c r="O163" i="7"/>
  <c r="P163" i="7" s="1"/>
  <c r="Q163" i="7" s="1"/>
  <c r="O164" i="7" l="1"/>
  <c r="P164" i="7" s="1"/>
  <c r="Q164" i="7" s="1"/>
  <c r="O165" i="7"/>
  <c r="P165" i="7" s="1"/>
  <c r="Q165" i="7" s="1"/>
  <c r="O166" i="7" l="1"/>
  <c r="P166" i="7" s="1"/>
  <c r="Q166" i="7" s="1"/>
  <c r="O167" i="7"/>
  <c r="P167" i="7" s="1"/>
  <c r="Q167" i="7" s="1"/>
  <c r="O168" i="7" l="1"/>
  <c r="P168" i="7" s="1"/>
  <c r="Q168" i="7" s="1"/>
  <c r="O169" i="7"/>
  <c r="P169" i="7" s="1"/>
  <c r="Q169" i="7" s="1"/>
  <c r="O170" i="7" l="1"/>
  <c r="P170" i="7" s="1"/>
  <c r="Q170" i="7" s="1"/>
  <c r="N269" i="7"/>
  <c r="H5" i="11" l="1"/>
  <c r="H6" i="11" s="1"/>
  <c r="C18" i="9"/>
  <c r="D18" i="9" s="1"/>
  <c r="E18" i="9" s="1"/>
  <c r="O269" i="7"/>
  <c r="P269" i="7" s="1"/>
  <c r="Q269" i="7" s="1"/>
  <c r="O171" i="7" l="1"/>
  <c r="P171" i="7" s="1"/>
  <c r="Q171" i="7" s="1"/>
  <c r="O172" i="7"/>
  <c r="P172" i="7" s="1"/>
  <c r="Q172" i="7" s="1"/>
  <c r="O173" i="7" l="1"/>
  <c r="P173" i="7" s="1"/>
  <c r="Q173" i="7" s="1"/>
  <c r="O174" i="7" l="1"/>
  <c r="P174" i="7" s="1"/>
  <c r="Q174" i="7" s="1"/>
  <c r="O175" i="7"/>
  <c r="P175" i="7" s="1"/>
  <c r="Q175" i="7" s="1"/>
  <c r="O176" i="7" l="1"/>
  <c r="P176" i="7" s="1"/>
  <c r="Q176" i="7" s="1"/>
  <c r="O177" i="7" l="1"/>
  <c r="P177" i="7" s="1"/>
  <c r="Q177" i="7" s="1"/>
  <c r="O178" i="7" l="1"/>
  <c r="P178" i="7" s="1"/>
  <c r="Q178" i="7" s="1"/>
  <c r="O179" i="7" l="1"/>
  <c r="P179" i="7" s="1"/>
  <c r="Q179" i="7" s="1"/>
  <c r="O180" i="7" l="1"/>
  <c r="P180" i="7" s="1"/>
  <c r="Q180" i="7" s="1"/>
  <c r="O181" i="7" l="1"/>
  <c r="P181" i="7" s="1"/>
  <c r="Q181" i="7" s="1"/>
  <c r="O182" i="7" l="1"/>
  <c r="P182" i="7" s="1"/>
  <c r="Q182" i="7" s="1"/>
  <c r="N270" i="7"/>
  <c r="I5" i="11" l="1"/>
  <c r="I6" i="11" s="1"/>
  <c r="O270" i="7"/>
  <c r="P270" i="7" s="1"/>
  <c r="Q270" i="7" s="1"/>
  <c r="C19" i="9"/>
  <c r="D19" i="9" s="1"/>
  <c r="E19" i="9" s="1"/>
  <c r="O183" i="7" l="1"/>
  <c r="P183" i="7" s="1"/>
  <c r="Q183" i="7" s="1"/>
  <c r="O185" i="7" l="1"/>
  <c r="P185" i="7" s="1"/>
  <c r="Q185" i="7" s="1"/>
  <c r="O186" i="7" l="1"/>
  <c r="P186" i="7" s="1"/>
  <c r="Q186" i="7" s="1"/>
  <c r="O184" i="7"/>
  <c r="P184" i="7" s="1"/>
  <c r="Q184" i="7" s="1"/>
  <c r="O187" i="7" l="1"/>
  <c r="P187" i="7" s="1"/>
  <c r="Q187" i="7" s="1"/>
  <c r="O188" i="7" l="1"/>
  <c r="P188" i="7" s="1"/>
  <c r="Q188" i="7" s="1"/>
  <c r="O189" i="7" l="1"/>
  <c r="P189" i="7" s="1"/>
  <c r="Q189" i="7" s="1"/>
  <c r="O190" i="7" l="1"/>
  <c r="P190" i="7" s="1"/>
  <c r="Q190" i="7" s="1"/>
  <c r="O191" i="7" l="1"/>
  <c r="P191" i="7" s="1"/>
  <c r="Q191" i="7" s="1"/>
  <c r="O192" i="7" l="1"/>
  <c r="P192" i="7" s="1"/>
  <c r="Q192" i="7" s="1"/>
  <c r="O193" i="7" l="1"/>
  <c r="P193" i="7" s="1"/>
  <c r="Q193" i="7" s="1"/>
  <c r="O194" i="7" l="1"/>
  <c r="P194" i="7" s="1"/>
  <c r="Q194" i="7" s="1"/>
  <c r="N271" i="7" l="1"/>
  <c r="J5" i="11" s="1"/>
  <c r="J6" i="11" s="1"/>
  <c r="O271" i="7" l="1"/>
  <c r="P271" i="7" s="1"/>
  <c r="Q271" i="7" s="1"/>
  <c r="C20" i="9"/>
  <c r="D20" i="9" s="1"/>
  <c r="E20" i="9" s="1"/>
  <c r="O195" i="7"/>
  <c r="P195" i="7" s="1"/>
  <c r="Q195" i="7" s="1"/>
  <c r="O196" i="7"/>
  <c r="P196" i="7" s="1"/>
  <c r="Q196" i="7" s="1"/>
  <c r="O197" i="7" l="1"/>
  <c r="P197" i="7" s="1"/>
  <c r="Q197" i="7" s="1"/>
  <c r="O198" i="7" l="1"/>
  <c r="P198" i="7" s="1"/>
  <c r="Q198" i="7" s="1"/>
  <c r="O199" i="7" l="1"/>
  <c r="P199" i="7" s="1"/>
  <c r="Q199" i="7" s="1"/>
  <c r="O200" i="7"/>
  <c r="P200" i="7" s="1"/>
  <c r="Q200" i="7" s="1"/>
  <c r="O201" i="7" l="1"/>
  <c r="P201" i="7" s="1"/>
  <c r="Q201" i="7" s="1"/>
  <c r="O202" i="7" l="1"/>
  <c r="P202" i="7" s="1"/>
  <c r="Q202" i="7" s="1"/>
  <c r="O203" i="7" l="1"/>
  <c r="P203" i="7" s="1"/>
  <c r="Q203" i="7" s="1"/>
  <c r="O204" i="7" l="1"/>
  <c r="P204" i="7" s="1"/>
  <c r="Q204" i="7" s="1"/>
  <c r="O205" i="7" l="1"/>
  <c r="P205" i="7" s="1"/>
  <c r="Q205" i="7" s="1"/>
  <c r="O206" i="7" l="1"/>
  <c r="P206" i="7" s="1"/>
  <c r="Q206" i="7" s="1"/>
  <c r="N272" i="7"/>
  <c r="K5" i="11" l="1"/>
  <c r="K6" i="11" s="1"/>
  <c r="O272" i="7"/>
  <c r="P272" i="7" s="1"/>
  <c r="Q272" i="7" s="1"/>
  <c r="C21" i="9"/>
  <c r="D21" i="9" s="1"/>
  <c r="E21" i="9" s="1"/>
  <c r="E10" i="26" l="1"/>
  <c r="F8" i="26"/>
  <c r="D10" i="26" l="1"/>
  <c r="F10" i="26" s="1"/>
  <c r="F14" i="26"/>
  <c r="I14" i="26" s="1"/>
  <c r="D16" i="26"/>
  <c r="F9" i="26"/>
  <c r="F15" i="26"/>
  <c r="I15" i="26" s="1"/>
  <c r="E16" i="26"/>
  <c r="F16" i="26" l="1"/>
  <c r="N7" i="11"/>
  <c r="O7" i="11"/>
  <c r="O207" i="7" l="1"/>
  <c r="P207" i="7" s="1"/>
  <c r="Q207" i="7" s="1"/>
  <c r="O208" i="7"/>
  <c r="P208" i="7" s="1"/>
  <c r="Q208" i="7" s="1"/>
  <c r="O209" i="7" l="1"/>
  <c r="P209" i="7" s="1"/>
  <c r="Q209" i="7" s="1"/>
  <c r="O210" i="7" l="1"/>
  <c r="P210" i="7" s="1"/>
  <c r="Q210" i="7" s="1"/>
  <c r="O211" i="7" l="1"/>
  <c r="P211" i="7" s="1"/>
  <c r="Q211" i="7" s="1"/>
  <c r="O212" i="7" l="1"/>
  <c r="P212" i="7" s="1"/>
  <c r="Q212" i="7" s="1"/>
  <c r="O213" i="7" l="1"/>
  <c r="P213" i="7" s="1"/>
  <c r="Q213" i="7" s="1"/>
  <c r="O214" i="7" l="1"/>
  <c r="P214" i="7" s="1"/>
  <c r="Q214" i="7" s="1"/>
  <c r="O215" i="7" l="1"/>
  <c r="P215" i="7" s="1"/>
  <c r="Q215" i="7" s="1"/>
  <c r="O216" i="7" l="1"/>
  <c r="P216" i="7" s="1"/>
  <c r="Q216" i="7" s="1"/>
  <c r="O217" i="7" l="1"/>
  <c r="P217" i="7" s="1"/>
  <c r="Q217" i="7" s="1"/>
  <c r="O218" i="7" l="1"/>
  <c r="P218" i="7" s="1"/>
  <c r="Q218" i="7" s="1"/>
  <c r="N273" i="7"/>
  <c r="L5" i="11" l="1"/>
  <c r="L6" i="11" s="1"/>
  <c r="C22" i="9"/>
  <c r="D22" i="9" s="1"/>
  <c r="E22" i="9" s="1"/>
  <c r="O273" i="7"/>
  <c r="P273" i="7" s="1"/>
  <c r="Q273" i="7" s="1"/>
  <c r="O219" i="7"/>
  <c r="P219" i="7" s="1"/>
  <c r="Q219" i="7" s="1"/>
  <c r="O220" i="7"/>
  <c r="P220" i="7" s="1"/>
  <c r="Q220" i="7" s="1"/>
  <c r="O221" i="7" l="1"/>
  <c r="P221" i="7" s="1"/>
  <c r="Q221" i="7" s="1"/>
  <c r="O222" i="7"/>
  <c r="P222" i="7" s="1"/>
  <c r="Q222" i="7" s="1"/>
  <c r="O223" i="7" l="1"/>
  <c r="P223" i="7" s="1"/>
  <c r="Q223" i="7" s="1"/>
  <c r="O224" i="7"/>
  <c r="P224" i="7" s="1"/>
  <c r="Q224" i="7" s="1"/>
  <c r="O225" i="7" l="1"/>
  <c r="P225" i="7" s="1"/>
  <c r="Q225" i="7" s="1"/>
  <c r="O226" i="7"/>
  <c r="P226" i="7" s="1"/>
  <c r="Q226" i="7" s="1"/>
  <c r="O227" i="7" l="1"/>
  <c r="P227" i="7" s="1"/>
  <c r="Q227" i="7" s="1"/>
  <c r="O228" i="7"/>
  <c r="P228" i="7" s="1"/>
  <c r="Q228" i="7" s="1"/>
  <c r="O229" i="7" l="1"/>
  <c r="P229" i="7" s="1"/>
  <c r="Q229" i="7" s="1"/>
  <c r="O230" i="7" l="1"/>
  <c r="P230" i="7" s="1"/>
  <c r="Q230" i="7" s="1"/>
  <c r="Q231" i="7" s="1"/>
  <c r="N274" i="7"/>
  <c r="C23" i="9" l="1"/>
  <c r="D23" i="9" s="1"/>
  <c r="E23" i="9" s="1"/>
  <c r="O274" i="7"/>
  <c r="P274" i="7" s="1"/>
  <c r="Q274" i="7" s="1"/>
  <c r="Q275" i="7" s="1"/>
  <c r="M5" i="11"/>
  <c r="M6" i="11" s="1"/>
  <c r="N278" i="7"/>
  <c r="O278" i="7" s="1"/>
  <c r="N275" i="7" l="1"/>
  <c r="C24" i="9" l="1"/>
  <c r="G24" i="9" s="1"/>
  <c r="N5" i="11"/>
  <c r="N8" i="11" l="1"/>
  <c r="N10" i="11"/>
  <c r="G73" i="9"/>
  <c r="G90" i="9" s="1"/>
  <c r="O296" i="7" l="1"/>
  <c r="N256" i="7"/>
  <c r="N276" i="7"/>
  <c r="O310" i="7" l="1"/>
  <c r="O5" i="11"/>
  <c r="C25" i="9"/>
  <c r="G25" i="9" s="1"/>
  <c r="N280" i="7"/>
  <c r="O280" i="7" s="1"/>
  <c r="O8" i="11" l="1"/>
  <c r="G74" i="9"/>
  <c r="O10" i="11"/>
  <c r="B38" i="17" l="1"/>
  <c r="B36" i="17" s="1"/>
  <c r="K17" i="17" l="1"/>
  <c r="N55" i="11" s="1"/>
  <c r="N14" i="11"/>
  <c r="H69" i="9"/>
  <c r="B40" i="17"/>
  <c r="G69" i="9" l="1"/>
  <c r="G89" i="9" s="1"/>
  <c r="G91" i="9" s="1"/>
  <c r="H77" i="9"/>
  <c r="O14" i="11"/>
  <c r="H70" i="9"/>
  <c r="K18" i="17"/>
  <c r="O55" i="11" s="1"/>
  <c r="G70" i="9" l="1"/>
  <c r="H78" i="9"/>
  <c r="G77" i="9"/>
  <c r="P77" i="9"/>
  <c r="G78" i="9" l="1"/>
  <c r="P85" i="9"/>
  <c r="P78" i="9"/>
  <c r="O81" i="9"/>
  <c r="O73" i="9" s="1"/>
  <c r="F16" i="18" s="1"/>
  <c r="M81" i="9"/>
  <c r="M73" i="9" s="1"/>
  <c r="N81" i="9"/>
  <c r="N73" i="9" s="1"/>
  <c r="N43" i="11" s="1"/>
  <c r="C11" i="33" s="1"/>
  <c r="I81" i="9"/>
  <c r="I73" i="9" s="1"/>
  <c r="N19" i="11" s="1"/>
  <c r="C6" i="33" s="1"/>
  <c r="J81" i="9"/>
  <c r="J73" i="9" s="1"/>
  <c r="L81" i="9"/>
  <c r="L73" i="9" s="1"/>
  <c r="K81" i="9"/>
  <c r="K73" i="9" s="1"/>
  <c r="H81" i="9"/>
  <c r="P86" i="9" l="1"/>
  <c r="C19" i="33"/>
  <c r="E19" i="33" s="1"/>
  <c r="C24" i="33"/>
  <c r="E24" i="33" s="1"/>
  <c r="E16" i="18"/>
  <c r="N39" i="11" s="1"/>
  <c r="D10" i="33" s="1"/>
  <c r="E47" i="33" s="1"/>
  <c r="N38" i="11"/>
  <c r="C10" i="33" s="1"/>
  <c r="N47" i="11"/>
  <c r="C12" i="33" s="1"/>
  <c r="N48" i="11"/>
  <c r="D12" i="33" s="1"/>
  <c r="E49" i="33" s="1"/>
  <c r="E61" i="33" s="1"/>
  <c r="C16" i="18"/>
  <c r="N29" i="11" s="1"/>
  <c r="D8" i="33" s="1"/>
  <c r="E45" i="33" s="1"/>
  <c r="N28" i="11"/>
  <c r="C8" i="33" s="1"/>
  <c r="M82" i="9"/>
  <c r="M74" i="9" s="1"/>
  <c r="K82" i="9"/>
  <c r="K74" i="9" s="1"/>
  <c r="N82" i="9"/>
  <c r="N74" i="9" s="1"/>
  <c r="O43" i="11" s="1"/>
  <c r="C11" i="34" s="1"/>
  <c r="J82" i="9"/>
  <c r="J74" i="9" s="1"/>
  <c r="L82" i="9"/>
  <c r="L74" i="9" s="1"/>
  <c r="I82" i="9"/>
  <c r="I74" i="9" s="1"/>
  <c r="O19" i="11" s="1"/>
  <c r="C6" i="34" s="1"/>
  <c r="O82" i="9"/>
  <c r="O74" i="9" s="1"/>
  <c r="P81" i="9"/>
  <c r="H73" i="9"/>
  <c r="D16" i="18"/>
  <c r="N34" i="11" s="1"/>
  <c r="D9" i="33" s="1"/>
  <c r="E46" i="33" s="1"/>
  <c r="N33" i="11"/>
  <c r="C9" i="33" s="1"/>
  <c r="C22" i="33" s="1"/>
  <c r="H82" i="9"/>
  <c r="B16" i="18"/>
  <c r="N23" i="11"/>
  <c r="C7" i="33" s="1"/>
  <c r="C34" i="33" l="1"/>
  <c r="E34" i="33" s="1"/>
  <c r="G34" i="33" s="1"/>
  <c r="E22" i="33"/>
  <c r="E58" i="33"/>
  <c r="G58" i="33" s="1"/>
  <c r="G46" i="33"/>
  <c r="G61" i="33"/>
  <c r="G49" i="33"/>
  <c r="D17" i="18"/>
  <c r="O34" i="11" s="1"/>
  <c r="D9" i="34" s="1"/>
  <c r="O33" i="11"/>
  <c r="C9" i="34" s="1"/>
  <c r="C25" i="33"/>
  <c r="E25" i="33" s="1"/>
  <c r="B17" i="18"/>
  <c r="O23" i="11"/>
  <c r="C23" i="33"/>
  <c r="E23" i="33" s="1"/>
  <c r="C24" i="34"/>
  <c r="E24" i="34" s="1"/>
  <c r="E59" i="33"/>
  <c r="G59" i="33" s="1"/>
  <c r="G47" i="33"/>
  <c r="P73" i="9"/>
  <c r="Q73" i="9" s="1"/>
  <c r="N15" i="11"/>
  <c r="N52" i="11" s="1"/>
  <c r="C17" i="18"/>
  <c r="O29" i="11" s="1"/>
  <c r="O28" i="11"/>
  <c r="C36" i="33"/>
  <c r="E36" i="33" s="1"/>
  <c r="C20" i="33"/>
  <c r="E20" i="33" s="1"/>
  <c r="O38" i="11"/>
  <c r="C10" i="34" s="1"/>
  <c r="E17" i="18"/>
  <c r="O39" i="11" s="1"/>
  <c r="D10" i="34" s="1"/>
  <c r="G24" i="33"/>
  <c r="G16" i="18"/>
  <c r="N57" i="11" s="1"/>
  <c r="N24" i="11"/>
  <c r="N53" i="11" s="1"/>
  <c r="O47" i="11"/>
  <c r="F17" i="18"/>
  <c r="O48" i="11" s="1"/>
  <c r="C21" i="33"/>
  <c r="E21" i="33" s="1"/>
  <c r="G19" i="33"/>
  <c r="P82" i="9"/>
  <c r="H74" i="9"/>
  <c r="C19" i="34"/>
  <c r="E19" i="34" s="1"/>
  <c r="E57" i="33"/>
  <c r="G57" i="33" s="1"/>
  <c r="G45" i="33"/>
  <c r="C31" i="33"/>
  <c r="E31" i="33" s="1"/>
  <c r="G31" i="33" s="1"/>
  <c r="C12" i="34" l="1"/>
  <c r="C8" i="34"/>
  <c r="D8" i="34"/>
  <c r="C22" i="34"/>
  <c r="E22" i="34" s="1"/>
  <c r="D12" i="34"/>
  <c r="C7" i="34"/>
  <c r="C20" i="34" s="1"/>
  <c r="E20" i="34" s="1"/>
  <c r="E70" i="33"/>
  <c r="G22" i="33"/>
  <c r="C37" i="33"/>
  <c r="E37" i="33" s="1"/>
  <c r="G37" i="33" s="1"/>
  <c r="C31" i="34"/>
  <c r="E31" i="34" s="1"/>
  <c r="G31" i="34" s="1"/>
  <c r="G20" i="33"/>
  <c r="E67" i="33"/>
  <c r="G36" i="33"/>
  <c r="O24" i="11"/>
  <c r="G17" i="18"/>
  <c r="O57" i="11" s="1"/>
  <c r="E72" i="33"/>
  <c r="C21" i="34"/>
  <c r="E21" i="34" s="1"/>
  <c r="G25" i="33"/>
  <c r="D7" i="33"/>
  <c r="G21" i="33"/>
  <c r="C36" i="34"/>
  <c r="E36" i="34" s="1"/>
  <c r="E72" i="34" s="1"/>
  <c r="E43" i="33"/>
  <c r="G19" i="34"/>
  <c r="C33" i="33"/>
  <c r="E33" i="33" s="1"/>
  <c r="G33" i="33" s="1"/>
  <c r="H91" i="33" s="1"/>
  <c r="C23" i="34"/>
  <c r="E23" i="34" s="1"/>
  <c r="G24" i="34"/>
  <c r="C5" i="33"/>
  <c r="C18" i="33" s="1"/>
  <c r="C30" i="33" s="1"/>
  <c r="C35" i="33"/>
  <c r="E35" i="33" s="1"/>
  <c r="G35" i="33" s="1"/>
  <c r="O15" i="11"/>
  <c r="O52" i="11" s="1"/>
  <c r="P74" i="9"/>
  <c r="C25" i="34"/>
  <c r="E25" i="34" s="1"/>
  <c r="C32" i="33"/>
  <c r="E32" i="33" s="1"/>
  <c r="G32" i="33" s="1"/>
  <c r="N56" i="11"/>
  <c r="S73" i="9"/>
  <c r="G23" i="33"/>
  <c r="C34" i="34" l="1"/>
  <c r="E34" i="34" s="1"/>
  <c r="G34" i="34" s="1"/>
  <c r="E73" i="33"/>
  <c r="H93" i="33"/>
  <c r="H92" i="33"/>
  <c r="E67" i="34"/>
  <c r="E79" i="34" s="1"/>
  <c r="G79" i="34" s="1"/>
  <c r="O53" i="11"/>
  <c r="E82" i="33"/>
  <c r="G82" i="33" s="1"/>
  <c r="G70" i="33"/>
  <c r="G22" i="34"/>
  <c r="E70" i="34"/>
  <c r="E71" i="33"/>
  <c r="G71" i="33" s="1"/>
  <c r="C37" i="34"/>
  <c r="E37" i="34" s="1"/>
  <c r="G37" i="34" s="1"/>
  <c r="G48" i="33"/>
  <c r="E60" i="33"/>
  <c r="G60" i="33" s="1"/>
  <c r="G21" i="34"/>
  <c r="E79" i="33"/>
  <c r="G79" i="33" s="1"/>
  <c r="G67" i="33"/>
  <c r="E69" i="33"/>
  <c r="C33" i="34"/>
  <c r="E33" i="34" s="1"/>
  <c r="G33" i="34" s="1"/>
  <c r="H91" i="34" s="1"/>
  <c r="G20" i="34"/>
  <c r="C13" i="33"/>
  <c r="C14" i="33" s="1"/>
  <c r="G72" i="33"/>
  <c r="E84" i="33"/>
  <c r="G84" i="33" s="1"/>
  <c r="C32" i="34"/>
  <c r="E32" i="34" s="1"/>
  <c r="G32" i="34" s="1"/>
  <c r="G25" i="34"/>
  <c r="E55" i="33"/>
  <c r="G55" i="33" s="1"/>
  <c r="G43" i="33"/>
  <c r="E44" i="33"/>
  <c r="D13" i="33"/>
  <c r="D14" i="33" s="1"/>
  <c r="O56" i="11"/>
  <c r="Q74" i="9"/>
  <c r="S74" i="9" s="1"/>
  <c r="G72" i="34"/>
  <c r="E84" i="34"/>
  <c r="G84" i="34" s="1"/>
  <c r="G36" i="34"/>
  <c r="D7" i="34"/>
  <c r="E83" i="33"/>
  <c r="G83" i="33" s="1"/>
  <c r="C5" i="34"/>
  <c r="G23" i="34"/>
  <c r="G73" i="33"/>
  <c r="E85" i="33"/>
  <c r="G85" i="33" s="1"/>
  <c r="C35" i="34"/>
  <c r="E35" i="34" s="1"/>
  <c r="G35" i="34" s="1"/>
  <c r="E68" i="33"/>
  <c r="G67" i="34" l="1"/>
  <c r="H93" i="34"/>
  <c r="G70" i="34"/>
  <c r="E82" i="34"/>
  <c r="G82" i="34" s="1"/>
  <c r="H92" i="34"/>
  <c r="E73" i="34"/>
  <c r="E85" i="34" s="1"/>
  <c r="G85" i="34" s="1"/>
  <c r="E69" i="34"/>
  <c r="G69" i="34" s="1"/>
  <c r="E68" i="34"/>
  <c r="E80" i="34" s="1"/>
  <c r="G80" i="34" s="1"/>
  <c r="E80" i="33"/>
  <c r="G80" i="33" s="1"/>
  <c r="G68" i="33"/>
  <c r="E56" i="33"/>
  <c r="G56" i="33" s="1"/>
  <c r="G44" i="33"/>
  <c r="C38" i="33"/>
  <c r="E30" i="33"/>
  <c r="E18" i="33"/>
  <c r="C26" i="33"/>
  <c r="E71" i="34"/>
  <c r="C13" i="34"/>
  <c r="C14" i="34" s="1"/>
  <c r="C18" i="34"/>
  <c r="C30" i="34" s="1"/>
  <c r="D13" i="34"/>
  <c r="D14" i="34" s="1"/>
  <c r="G69" i="33"/>
  <c r="E81" i="33"/>
  <c r="G81" i="33" s="1"/>
  <c r="E81" i="34" l="1"/>
  <c r="G81" i="34" s="1"/>
  <c r="G73" i="34"/>
  <c r="G68" i="34"/>
  <c r="C39" i="33"/>
  <c r="E26" i="33"/>
  <c r="E66" i="33"/>
  <c r="E42" i="33"/>
  <c r="G18" i="33"/>
  <c r="G30" i="33"/>
  <c r="G38" i="33" s="1"/>
  <c r="E38" i="33"/>
  <c r="E30" i="34"/>
  <c r="C38" i="34"/>
  <c r="E18" i="34"/>
  <c r="C26" i="34"/>
  <c r="G71" i="34"/>
  <c r="E83" i="34"/>
  <c r="G83" i="34" s="1"/>
  <c r="G26" i="33" l="1"/>
  <c r="C90" i="33" s="1"/>
  <c r="H90" i="33"/>
  <c r="C39" i="34"/>
  <c r="E38" i="34"/>
  <c r="G30" i="34"/>
  <c r="G38" i="34" s="1"/>
  <c r="G42" i="33"/>
  <c r="G50" i="33" s="1"/>
  <c r="C92" i="33" s="1"/>
  <c r="H95" i="33" s="1"/>
  <c r="E54" i="33"/>
  <c r="G54" i="33" s="1"/>
  <c r="G62" i="33" s="1"/>
  <c r="C93" i="33" s="1"/>
  <c r="H96" i="33" s="1"/>
  <c r="G66" i="33"/>
  <c r="G74" i="33" s="1"/>
  <c r="C91" i="33" s="1"/>
  <c r="E74" i="33"/>
  <c r="E78" i="33"/>
  <c r="E26" i="34"/>
  <c r="G18" i="34"/>
  <c r="E66" i="34"/>
  <c r="G26" i="34" l="1"/>
  <c r="C90" i="34" s="1"/>
  <c r="H90" i="34"/>
  <c r="G78" i="33"/>
  <c r="G86" i="33" s="1"/>
  <c r="C94" i="33" s="1"/>
  <c r="C97" i="33" s="1"/>
  <c r="E86" i="33"/>
  <c r="G66" i="34"/>
  <c r="G74" i="34" s="1"/>
  <c r="C91" i="34" s="1"/>
  <c r="E74" i="34"/>
  <c r="E78" i="34"/>
  <c r="G62" i="34"/>
  <c r="C93" i="34" s="1"/>
  <c r="H96" i="34" s="1"/>
  <c r="G50" i="34"/>
  <c r="C92" i="34" s="1"/>
  <c r="H95" i="34" s="1"/>
  <c r="D91" i="33" l="1"/>
  <c r="H94" i="33"/>
  <c r="H99" i="33" s="1"/>
  <c r="H100" i="33" s="1"/>
  <c r="J93" i="34"/>
  <c r="G78" i="34"/>
  <c r="G86" i="34" s="1"/>
  <c r="C94" i="34" s="1"/>
  <c r="C97" i="34" s="1"/>
  <c r="E86" i="34"/>
  <c r="H94" i="34" l="1"/>
  <c r="H99" i="34" s="1"/>
  <c r="H100" i="34" s="1"/>
</calcChain>
</file>

<file path=xl/sharedStrings.xml><?xml version="1.0" encoding="utf-8"?>
<sst xmlns="http://schemas.openxmlformats.org/spreadsheetml/2006/main" count="354" uniqueCount="171">
  <si>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</si>
  <si>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</si>
  <si>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</si>
  <si>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</si>
  <si>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</si>
  <si>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</si>
  <si>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</si>
  <si>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</si>
  <si>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</si>
  <si>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</si>
  <si>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</si>
  <si>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</si>
  <si>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</si>
  <si>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</si>
  <si>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</si>
  <si>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</si>
  <si>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</si>
  <si>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</si>
  <si>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</si>
  <si>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</si>
  <si>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</si>
  <si>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</si>
  <si>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</si>
  <si>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</si>
  <si>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</si>
  <si>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</si>
  <si>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</si>
  <si>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</si>
  <si>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</si>
  <si>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</si>
  <si>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</si>
  <si>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</si>
  <si>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</si>
  <si>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</si>
  <si>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</si>
  <si>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</si>
  <si>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</si>
  <si>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</si>
  <si>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</si>
  <si>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</si>
  <si>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</si>
  <si>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</si>
  <si>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</si>
  <si>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</si>
  <si>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</si>
  <si>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</si>
  <si>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</si>
  <si>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</si>
  <si>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</si>
  <si>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</si>
  <si>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</si>
  <si>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</si>
  <si>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</si>
  <si>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</si>
  <si>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</si>
  <si>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</si>
  <si>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</si>
  <si>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</si>
  <si>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</si>
  <si>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</si>
  <si>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</si>
  <si>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</si>
  <si>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</si>
  <si>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</si>
  <si>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Street Lights</t>
  </si>
  <si>
    <t>Embedded Distributor</t>
  </si>
  <si>
    <t>Weather Normal</t>
  </si>
  <si>
    <t>Embedded Distributors</t>
  </si>
  <si>
    <t>4 Year 2011 to 2014 target</t>
  </si>
  <si>
    <t>May</t>
  </si>
  <si>
    <t>`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</si>
  <si>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</si>
  <si>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</si>
  <si>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</si>
  <si>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</si>
  <si>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</si>
  <si>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</si>
  <si>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</si>
  <si>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</si>
  <si>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</si>
  <si>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</si>
  <si>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</si>
  <si>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</si>
  <si>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</si>
  <si>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</si>
  <si>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</si>
  <si>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</si>
  <si>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</si>
  <si>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</si>
  <si>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</si>
  <si>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% Variance (Abs)</t>
  </si>
  <si>
    <t>Mean Average Percent Error</t>
  </si>
  <si>
    <t>CDM</t>
  </si>
  <si>
    <t>Direct Market Participant</t>
  </si>
  <si>
    <t>Large User</t>
  </si>
  <si>
    <t xml:space="preserve">2008 Actual </t>
  </si>
  <si>
    <t xml:space="preserve">2010 Actual </t>
  </si>
  <si>
    <t xml:space="preserve">2011 Actual </t>
  </si>
  <si>
    <t>2011 Programs</t>
  </si>
  <si>
    <t>2012 Programs</t>
  </si>
  <si>
    <t>2013 Programs</t>
  </si>
  <si>
    <t>2014 Programs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</si>
  <si>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</si>
  <si>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</si>
  <si>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</si>
  <si>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</si>
  <si>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</si>
  <si>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</si>
  <si>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</si>
  <si>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</si>
  <si>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</si>
  <si>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</si>
  <si>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</si>
  <si>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</si>
  <si>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</si>
  <si>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</si>
  <si>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</si>
  <si>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</si>
  <si>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</si>
  <si>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</si>
  <si>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</si>
  <si>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</si>
  <si>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</si>
  <si>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</si>
  <si>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</si>
  <si>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</si>
  <si>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</si>
  <si>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2014 %RPP</t>
  </si>
  <si>
    <t>4751-Smart Meter Entity Charge</t>
  </si>
  <si>
    <t>4751 - Smart Metering Entity charge</t>
  </si>
  <si>
    <t>General Service &lt; 50 kW</t>
  </si>
  <si>
    <t>______________________________ Hydro Inc. Weather Normal Load Forecast for 2016 Rate Application</t>
  </si>
  <si>
    <t>Cost of Power 2016</t>
  </si>
  <si>
    <t>2016 Load Forecast</t>
  </si>
  <si>
    <t>2016 Forecasted Metered kWhs</t>
  </si>
  <si>
    <t>2016  Loss Factor</t>
  </si>
  <si>
    <t>Cost of Power 2015</t>
  </si>
  <si>
    <t>2015 Load Forecast</t>
  </si>
  <si>
    <t>2015 Forecasted Metered kWhs</t>
  </si>
  <si>
    <t>2015  Loss Factor</t>
  </si>
  <si>
    <t>2016 Weather Normal</t>
  </si>
  <si>
    <t>2015 Weather Normal</t>
  </si>
  <si>
    <t xml:space="preserve">2013 Actual </t>
  </si>
  <si>
    <t xml:space="preserve">2014 Actual </t>
  </si>
  <si>
    <t>Total to 2014</t>
  </si>
  <si>
    <r>
      <t xml:space="preserve">Embedded </t>
    </r>
    <r>
      <rPr>
        <u/>
        <sz val="10"/>
        <rFont val="Arial"/>
        <family val="2"/>
      </rPr>
      <t>Distributors - #1</t>
    </r>
  </si>
  <si>
    <t>2015 Programs</t>
  </si>
  <si>
    <t>2016 Programs</t>
  </si>
  <si>
    <t>Lower 95.0%</t>
  </si>
  <si>
    <t>Upper 95.0%</t>
  </si>
  <si>
    <t>Purchased kWh - IESO</t>
  </si>
  <si>
    <t>Embedded Generation</t>
  </si>
  <si>
    <t>Less Wallenstein Adjmt</t>
  </si>
  <si>
    <t>Per 282-0109</t>
  </si>
  <si>
    <t>Less LTLT</t>
  </si>
  <si>
    <t>&gt;50</t>
  </si>
  <si>
    <t>General Service &gt; 50 to 4999 kW</t>
  </si>
  <si>
    <t>Employment Kitchener-Waterloo-Cambridge (000's)</t>
  </si>
  <si>
    <t>Add MP</t>
  </si>
  <si>
    <t>Total 2011-16</t>
  </si>
  <si>
    <t>Number of Peak Hours</t>
  </si>
  <si>
    <t>Class Split</t>
  </si>
  <si>
    <t>Res</t>
  </si>
  <si>
    <t>&lt;50</t>
  </si>
  <si>
    <t>LRAMVA Split kWh 11-13</t>
  </si>
  <si>
    <r>
      <t xml:space="preserve">General Service </t>
    </r>
    <r>
      <rPr>
        <u/>
        <sz val="10"/>
        <rFont val="Arial"/>
        <family val="2"/>
      </rPr>
      <t>&gt; 50 to 4999 kW</t>
    </r>
  </si>
  <si>
    <t>SOE</t>
  </si>
  <si>
    <t>USoA</t>
  </si>
  <si>
    <t>Used the RTSR Model Forecast</t>
  </si>
  <si>
    <t>Purchased kWh</t>
  </si>
  <si>
    <t>Weather Normal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</si>
</sst>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3" formatCode="_(* #,##0.00_);_(* \(#,##0.00\);_(* &quot;-&quot;??_);_(@_)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FF00FF"/>
      <name val="Arial"/>
      <family val="2"/>
    </font>
    <font>
      <b/>
      <sz val="10"/>
      <color rgb="FFFF0000"/>
      <name val="Arial"/>
      <family val="2"/>
    </font>
    <font>
      <i/>
      <sz val="10"/>
      <color rgb="FFFF00FF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Sans-serif"/>
    </font>
    <font>
      <i/>
      <sz val="10"/>
      <color rgb="FF000000"/>
      <name val="Sans-serif"/>
    </font>
    <font>
      <i/>
      <sz val="10"/>
      <color rgb="FFFFC000"/>
      <name val="Arial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2" borderId="0" xfId="0" applyNumberForma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3" fontId="2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3" fontId="0" fillId="0" borderId="24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2" borderId="1" xfId="0" applyNumberFormat="1" applyFill="1" applyBorder="1"/>
    <xf numFmtId="37" fontId="0" fillId="0" borderId="1" xfId="0" applyNumberFormat="1" applyBorder="1"/>
    <xf numFmtId="176" fontId="0" fillId="2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2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9" fontId="0" fillId="3" borderId="0" xfId="0" applyNumberFormat="1" applyFill="1" applyAlignment="1">
      <alignment horizontal="center"/>
    </xf>
    <xf numFmtId="165" fontId="0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37" fontId="0" fillId="0" borderId="0" xfId="0" applyNumberForma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8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1" fillId="2" borderId="0" xfId="0" quotePrefix="1" applyNumberFormat="1" applyFont="1" applyFill="1" applyAlignment="1">
      <alignment horizontal="center" wrapText="1"/>
    </xf>
    <xf numFmtId="0" fontId="1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1" fillId="3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" applyFont="1"/>
    <xf numFmtId="0" fontId="13" fillId="0" borderId="0" xfId="4" applyFont="1"/>
    <xf numFmtId="43" fontId="1" fillId="0" borderId="0" xfId="11" applyFont="1"/>
    <xf numFmtId="0" fontId="14" fillId="0" borderId="0" xfId="4" applyFont="1"/>
    <xf numFmtId="43" fontId="7" fillId="0" borderId="0" xfId="11" applyFont="1"/>
    <xf numFmtId="0" fontId="7" fillId="0" borderId="0" xfId="4" applyFont="1"/>
    <xf numFmtId="43" fontId="15" fillId="0" borderId="0" xfId="11" applyFont="1" applyAlignment="1">
      <alignment horizontal="right"/>
    </xf>
    <xf numFmtId="0" fontId="15" fillId="0" borderId="13" xfId="4" applyFont="1" applyBorder="1" applyAlignment="1">
      <alignment horizontal="right"/>
    </xf>
    <xf numFmtId="0" fontId="7" fillId="0" borderId="0" xfId="4" applyFont="1" applyAlignment="1">
      <alignment horizontal="right"/>
    </xf>
    <xf numFmtId="43" fontId="7" fillId="0" borderId="0" xfId="4" applyNumberFormat="1" applyFont="1" applyAlignment="1">
      <alignment horizontal="right"/>
    </xf>
    <xf numFmtId="0" fontId="1" fillId="0" borderId="0" xfId="4" applyFill="1"/>
    <xf numFmtId="166" fontId="2" fillId="0" borderId="0" xfId="0" applyNumberFormat="1" applyFont="1" applyFill="1" applyAlignment="1">
      <alignment horizontal="center"/>
    </xf>
    <xf numFmtId="10" fontId="1" fillId="2" borderId="1" xfId="2" applyNumberFormat="1" applyFill="1" applyBorder="1"/>
    <xf numFmtId="0" fontId="10" fillId="6" borderId="1" xfId="0" applyFont="1" applyFill="1" applyBorder="1"/>
    <xf numFmtId="0" fontId="4" fillId="6" borderId="1" xfId="0" applyFont="1" applyFill="1" applyBorder="1"/>
    <xf numFmtId="0" fontId="10" fillId="6" borderId="15" xfId="0" applyFont="1" applyFill="1" applyBorder="1"/>
    <xf numFmtId="0" fontId="4" fillId="6" borderId="12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6" borderId="10" xfId="0" applyFill="1" applyBorder="1"/>
    <xf numFmtId="0" fontId="4" fillId="6" borderId="9" xfId="0" applyFont="1" applyFill="1" applyBorder="1" applyAlignment="1">
      <alignment horizontal="center"/>
    </xf>
    <xf numFmtId="0" fontId="10" fillId="0" borderId="17" xfId="0" applyFont="1" applyBorder="1"/>
    <xf numFmtId="0" fontId="1" fillId="0" borderId="5" xfId="0" applyFont="1" applyBorder="1"/>
    <xf numFmtId="0" fontId="4" fillId="6" borderId="14" xfId="0" applyNumberFormat="1" applyFont="1" applyFill="1" applyBorder="1" applyAlignment="1">
      <alignment horizontal="center"/>
    </xf>
    <xf numFmtId="177" fontId="11" fillId="0" borderId="1" xfId="0" applyNumberFormat="1" applyFont="1" applyBorder="1"/>
    <xf numFmtId="3" fontId="3" fillId="0" borderId="0" xfId="0" applyNumberFormat="1" applyFont="1" applyFill="1" applyAlignment="1">
      <alignment horizontal="center" wrapText="1"/>
    </xf>
    <xf numFmtId="0" fontId="1" fillId="0" borderId="21" xfId="0" applyFont="1" applyBorder="1"/>
    <xf numFmtId="0" fontId="0" fillId="0" borderId="24" xfId="0" applyBorder="1"/>
    <xf numFmtId="3" fontId="1" fillId="0" borderId="0" xfId="0" applyNumberFormat="1" applyFont="1"/>
    <xf numFmtId="0" fontId="1" fillId="0" borderId="23" xfId="0" applyFont="1" applyFill="1" applyBorder="1"/>
    <xf numFmtId="172" fontId="0" fillId="0" borderId="0" xfId="1" applyNumberFormat="1" applyFont="1" applyAlignment="1">
      <alignment horizontal="left"/>
    </xf>
    <xf numFmtId="172" fontId="0" fillId="0" borderId="0" xfId="1" applyNumberFormat="1" applyFont="1" applyFill="1" applyAlignment="1">
      <alignment horizontal="left"/>
    </xf>
    <xf numFmtId="173" fontId="2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1" fillId="0" borderId="0" xfId="0" applyFont="1"/>
    <xf numFmtId="165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wrapText="1"/>
    </xf>
    <xf numFmtId="0" fontId="19" fillId="0" borderId="0" xfId="0" applyFont="1"/>
    <xf numFmtId="0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72" fontId="1" fillId="0" borderId="0" xfId="1" applyNumberFormat="1" applyFont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21" fillId="0" borderId="0" xfId="0" applyFo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9" fontId="0" fillId="0" borderId="0" xfId="0" applyNumberFormat="1" applyAlignment="1">
      <alignment horizontal="left"/>
    </xf>
    <xf numFmtId="169" fontId="1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left"/>
    </xf>
    <xf numFmtId="43" fontId="7" fillId="0" borderId="0" xfId="4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center"/>
    </xf>
    <xf numFmtId="172" fontId="0" fillId="0" borderId="0" xfId="0" applyNumberFormat="1"/>
    <xf numFmtId="172" fontId="0" fillId="0" borderId="0" xfId="1" applyNumberFormat="1" applyFont="1"/>
    <xf numFmtId="3" fontId="0" fillId="0" borderId="34" xfId="0" applyNumberFormat="1" applyBorder="1"/>
    <xf numFmtId="3" fontId="0" fillId="0" borderId="37" xfId="0" applyNumberFormat="1" applyBorder="1"/>
    <xf numFmtId="0" fontId="0" fillId="0" borderId="37" xfId="0" applyBorder="1"/>
    <xf numFmtId="3" fontId="0" fillId="0" borderId="36" xfId="0" applyNumberFormat="1" applyBorder="1"/>
    <xf numFmtId="0" fontId="4" fillId="0" borderId="35" xfId="0" applyFont="1" applyBorder="1" applyAlignment="1">
      <alignment horizontal="center"/>
    </xf>
    <xf numFmtId="169" fontId="16" fillId="0" borderId="0" xfId="0" applyNumberFormat="1" applyFont="1" applyFill="1" applyAlignment="1">
      <alignment horizontal="center"/>
    </xf>
    <xf numFmtId="0" fontId="16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72" fontId="3" fillId="0" borderId="0" xfId="1" applyNumberFormat="1" applyFont="1" applyFill="1" applyBorder="1" applyAlignment="1">
      <alignment horizontal="center" vertical="center" wrapText="1"/>
    </xf>
    <xf numFmtId="172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 vertical="center" wrapText="1"/>
    </xf>
    <xf numFmtId="172" fontId="4" fillId="0" borderId="8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right"/>
    </xf>
    <xf numFmtId="3" fontId="16" fillId="0" borderId="0" xfId="0" applyNumberFormat="1" applyFont="1" applyFill="1" applyAlignment="1">
      <alignment horizontal="center"/>
    </xf>
    <xf numFmtId="165" fontId="16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0" fillId="0" borderId="34" xfId="0" applyFill="1" applyBorder="1"/>
    <xf numFmtId="3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3" borderId="0" xfId="0" applyFill="1" applyBorder="1" applyAlignment="1"/>
    <xf numFmtId="169" fontId="26" fillId="0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3" fontId="1" fillId="0" borderId="1" xfId="0" applyNumberFormat="1" applyFont="1" applyBorder="1"/>
    <xf numFmtId="171" fontId="0" fillId="3" borderId="1" xfId="0" applyNumberFormat="1" applyFill="1" applyBorder="1"/>
    <xf numFmtId="0" fontId="16" fillId="0" borderId="0" xfId="0" applyFont="1" applyFill="1"/>
    <xf numFmtId="37" fontId="0" fillId="0" borderId="0" xfId="0" applyNumberFormat="1"/>
    <xf numFmtId="172" fontId="0" fillId="0" borderId="31" xfId="1" applyNumberFormat="1" applyFont="1" applyBorder="1"/>
    <xf numFmtId="172" fontId="0" fillId="0" borderId="39" xfId="1" applyNumberFormat="1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5" fontId="0" fillId="0" borderId="0" xfId="0" applyNumberFormat="1"/>
    <xf numFmtId="175" fontId="1" fillId="0" borderId="0" xfId="1" applyNumberFormat="1" applyFont="1"/>
    <xf numFmtId="5" fontId="16" fillId="0" borderId="1" xfId="0" applyNumberFormat="1" applyFont="1" applyBorder="1"/>
    <xf numFmtId="37" fontId="25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0" xfId="4" applyFont="1" applyAlignment="1">
      <alignment horizontal="center"/>
    </xf>
    <xf numFmtId="0" fontId="4" fillId="6" borderId="7" xfId="0" applyNumberFormat="1" applyFont="1" applyFill="1" applyBorder="1" applyAlignment="1">
      <alignment horizontal="center"/>
    </xf>
    <xf numFmtId="0" fontId="4" fillId="6" borderId="13" xfId="0" applyNumberFormat="1" applyFont="1" applyFill="1" applyBorder="1" applyAlignment="1">
      <alignment horizontal="center"/>
    </xf>
    <xf numFmtId="0" fontId="4" fillId="6" borderId="14" xfId="0" applyNumberFormat="1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6" borderId="15" xfId="0" applyNumberFormat="1" applyFont="1" applyFill="1" applyBorder="1" applyAlignment="1">
      <alignment horizontal="center" wrapText="1"/>
    </xf>
    <xf numFmtId="0" fontId="4" fillId="6" borderId="16" xfId="0" applyNumberFormat="1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0" xfId="0" applyNumberFormat="1" applyFont="1" applyFill="1" applyBorder="1" applyAlignment="1">
      <alignment horizontal="center"/>
    </xf>
    <xf numFmtId="0" fontId="4" fillId="6" borderId="11" xfId="0" applyNumberFormat="1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vertical="center" wrapText="1"/>
    </xf>
    <xf numFmtId="0" fontId="1" fillId="0" borderId="0" xfId="0" applyFont="1" applyFill="1"/>
    <xf numFmtId="0" fontId="24" fillId="0" borderId="35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1" fillId="0" borderId="36" xfId="0" applyFont="1" applyFill="1" applyBorder="1"/>
    <xf numFmtId="165" fontId="4" fillId="0" borderId="38" xfId="2" applyNumberFormat="1" applyFont="1" applyFill="1" applyBorder="1"/>
    <xf numFmtId="165" fontId="4" fillId="0" borderId="36" xfId="2" applyNumberFormat="1" applyFont="1" applyFill="1" applyBorder="1"/>
    <xf numFmtId="165" fontId="4" fillId="0" borderId="33" xfId="2" applyNumberFormat="1" applyFont="1" applyFill="1" applyBorder="1"/>
    <xf numFmtId="165" fontId="4" fillId="0" borderId="35" xfId="2" applyNumberFormat="1" applyFont="1" applyFill="1" applyBorder="1"/>
    <xf numFmtId="0" fontId="0" fillId="0" borderId="0" xfId="0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169" fontId="1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9" fillId="0" borderId="0" xfId="2" applyFont="1" applyFill="1" applyAlignment="1">
      <alignment horizontal="center"/>
    </xf>
    <xf numFmtId="0" fontId="4" fillId="0" borderId="3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1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2" fontId="16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9" fontId="0" fillId="0" borderId="0" xfId="0" applyNumberForma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70" fontId="17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0" fillId="0" borderId="25" xfId="0" applyNumberForma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18" xfId="0" applyFill="1" applyBorder="1"/>
    <xf numFmtId="3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" xfId="0" applyFont="1" applyBorder="1"/>
    <xf numFmtId="10" fontId="1" fillId="0" borderId="1" xfId="2" applyNumberFormat="1" applyFont="1" applyFill="1" applyBorder="1"/>
    <xf numFmtId="43" fontId="4" fillId="0" borderId="0" xfId="11" applyFont="1" applyFill="1" applyBorder="1"/>
    <xf numFmtId="0" fontId="4" fillId="0" borderId="0" xfId="4" applyFont="1" applyFill="1" applyBorder="1"/>
    <xf numFmtId="0" fontId="1" fillId="0" borderId="0" xfId="4" applyFill="1" applyBorder="1"/>
    <xf numFmtId="0" fontId="15" fillId="0" borderId="0" xfId="4" applyFont="1" applyFill="1"/>
    <xf numFmtId="2" fontId="7" fillId="0" borderId="0" xfId="4" applyNumberFormat="1" applyFont="1" applyFill="1"/>
    <xf numFmtId="4" fontId="7" fillId="0" borderId="0" xfId="4" applyNumberFormat="1" applyFont="1" applyFill="1"/>
    <xf numFmtId="2" fontId="1" fillId="0" borderId="0" xfId="4" applyNumberFormat="1" applyFill="1"/>
    <xf numFmtId="43" fontId="7" fillId="0" borderId="0" xfId="4" applyNumberFormat="1" applyFont="1"/>
    <xf numFmtId="0" fontId="11" fillId="0" borderId="0" xfId="0" applyFont="1" applyFill="1"/>
    <xf numFmtId="176" fontId="1" fillId="2" borderId="1" xfId="0" applyNumberFormat="1" applyFont="1" applyFill="1" applyBorder="1"/>
    <xf numFmtId="178" fontId="25" fillId="2" borderId="1" xfId="0" applyNumberFormat="1" applyFont="1" applyFill="1" applyBorder="1"/>
    <xf numFmtId="177" fontId="1" fillId="0" borderId="1" xfId="0" applyNumberFormat="1" applyFont="1" applyBorder="1"/>
    <xf numFmtId="5" fontId="1" fillId="0" borderId="1" xfId="0" applyNumberFormat="1" applyFont="1" applyBorder="1"/>
    <xf numFmtId="0" fontId="23" fillId="0" borderId="0" xfId="0" applyFont="1" applyFill="1"/>
    <xf numFmtId="0" fontId="4" fillId="0" borderId="0" xfId="0" applyFont="1" applyFill="1"/>
    <xf numFmtId="178" fontId="1" fillId="2" borderId="1" xfId="0" applyNumberFormat="1" applyFont="1" applyFill="1" applyBorder="1"/>
    <xf numFmtId="5" fontId="1" fillId="0" borderId="16" xfId="0" applyNumberFormat="1" applyFont="1" applyFill="1" applyBorder="1"/>
    <xf numFmtId="37" fontId="4" fillId="0" borderId="1" xfId="0" applyNumberFormat="1" applyFont="1" applyFill="1" applyBorder="1"/>
    <xf numFmtId="172" fontId="1" fillId="0" borderId="31" xfId="1" applyNumberFormat="1" applyFont="1" applyBorder="1"/>
  </cellXfs>
  <cellStyles count="12">
    <cellStyle name="Comma" xfId="1" builtinId="3"/>
    <cellStyle name="Comma 2" xfId="5"/>
    <cellStyle name="Comma 3" xfId="6"/>
    <cellStyle name="Comma_Horizon 2011 Load Forecast Model  June 25, 2010" xfId="11"/>
    <cellStyle name="Comma0" xfId="7"/>
    <cellStyle name="Currency0" xfId="8"/>
    <cellStyle name="Date" xfId="9"/>
    <cellStyle name="Fixed" xfId="10"/>
    <cellStyle name="Normal" xfId="0" builtinId="0"/>
    <cellStyle name="Normal 2" xfId="4"/>
    <cellStyle name="Percent" xfId="2" builtinId="5"/>
    <cellStyle name="Style 23" xfId="3"/>
  </cellStyles>
  <dxfs count="0"/>
  <tableStyles count="0" defaultTableStyle="TableStyleMedium2" defaultPivotStyle="PivotStyleLight16"/>
  <colors>
    <mruColors>
      <color rgb="FFCCFFCC"/>
      <color rgb="FFFF99CC"/>
      <color rgb="FFFF0000"/>
      <color rgb="FFFF00FF"/>
      <color rgb="FF00FF00"/>
      <color rgb="FF808000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zoomScale="80" zoomScaleNormal="8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P10" sqref="P10"/>
    </sheetView>
  </sheetViews>
  <sheetFormatPr defaultRowHeight="13.2"/>
  <cols>
    <col min="1" max="1" width="34.3320312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7" customWidth="1"/>
    <col min="11" max="11" width="14" style="68" bestFit="1" customWidth="1"/>
    <col min="12" max="12" width="14" bestFit="1" customWidth="1"/>
    <col min="13" max="15" width="12.6640625" style="29" bestFit="1" customWidth="1"/>
    <col min="16" max="16" width="11.109375" bestFit="1" customWidth="1"/>
    <col min="18" max="18" width="11.109375" bestFit="1" customWidth="1"/>
    <col min="19" max="19" width="12.88671875" bestFit="1" customWidth="1"/>
    <col min="20" max="20" width="14" bestFit="1" customWidth="1"/>
    <col min="21" max="22" width="12.88671875" bestFit="1" customWidth="1"/>
  </cols>
  <sheetData>
    <row r="1" spans="1:16" ht="15.6">
      <c r="A1" s="41" t="s">
        <v>131</v>
      </c>
      <c r="J1" s="21"/>
      <c r="K1" s="29"/>
    </row>
    <row r="2" spans="1:16">
      <c r="J2" s="21"/>
      <c r="K2" s="29"/>
    </row>
    <row r="3" spans="1:16" ht="39.6">
      <c r="B3" s="43" t="s">
        <v>50</v>
      </c>
      <c r="C3" s="43" t="s">
        <v>51</v>
      </c>
      <c r="D3" s="43" t="s">
        <v>52</v>
      </c>
      <c r="E3" s="43" t="s">
        <v>53</v>
      </c>
      <c r="F3" s="43" t="s">
        <v>54</v>
      </c>
      <c r="G3" s="43" t="s">
        <v>95</v>
      </c>
      <c r="H3" s="43" t="s">
        <v>102</v>
      </c>
      <c r="I3" s="43" t="s">
        <v>96</v>
      </c>
      <c r="J3" s="43" t="s">
        <v>97</v>
      </c>
      <c r="K3" s="43" t="s">
        <v>103</v>
      </c>
      <c r="L3" s="43" t="s">
        <v>142</v>
      </c>
      <c r="M3" s="43" t="s">
        <v>143</v>
      </c>
      <c r="N3" s="114" t="s">
        <v>141</v>
      </c>
      <c r="O3" s="114" t="s">
        <v>140</v>
      </c>
    </row>
    <row r="4" spans="1:16">
      <c r="A4" s="17" t="s">
        <v>58</v>
      </c>
      <c r="B4" s="27">
        <f>'Purchased Power Model'!G263</f>
        <v>1269973823.9361501</v>
      </c>
      <c r="C4" s="6">
        <f>'Purchased Power Model'!G264</f>
        <v>1294310409.8232</v>
      </c>
      <c r="D4" s="27">
        <f>'Purchased Power Model'!G265</f>
        <v>1358556812.9958501</v>
      </c>
      <c r="E4" s="27">
        <f>'Purchased Power Model'!G266</f>
        <v>1372533120.3491502</v>
      </c>
      <c r="F4" s="27">
        <f>'Purchased Power Model'!G267</f>
        <v>1423569039</v>
      </c>
      <c r="G4" s="27">
        <f>'Purchased Power Model'!G268</f>
        <v>1421429683</v>
      </c>
      <c r="H4" s="27">
        <f>'Purchased Power Model'!G269</f>
        <v>1411764680.4000001</v>
      </c>
      <c r="I4" s="27">
        <f>'Purchased Power Model'!G270</f>
        <v>1479129865.4622219</v>
      </c>
      <c r="J4" s="71">
        <f>'Purchased Power Model'!G271</f>
        <v>1488841980.79</v>
      </c>
      <c r="K4" s="25">
        <f>'Purchased Power Model'!G272</f>
        <v>1495459949.0999999</v>
      </c>
      <c r="L4" s="6">
        <f>'Purchased Power Model'!G273</f>
        <v>1493043816.6187882</v>
      </c>
      <c r="M4" s="25">
        <f>'Purchased Power Model'!G274</f>
        <v>1490761014.1592579</v>
      </c>
      <c r="N4" s="25"/>
      <c r="O4" s="25"/>
    </row>
    <row r="5" spans="1:16">
      <c r="A5" s="17" t="s">
        <v>59</v>
      </c>
      <c r="B5" s="27">
        <f>'Purchased Power Model'!N263</f>
        <v>1274021085.0252407</v>
      </c>
      <c r="C5" s="27">
        <f>'Purchased Power Model'!N264</f>
        <v>1286052695.5111763</v>
      </c>
      <c r="D5" s="27">
        <f>'Purchased Power Model'!N265</f>
        <v>1387950220.9055583</v>
      </c>
      <c r="E5" s="27">
        <f>'Purchased Power Model'!N266</f>
        <v>1364186174.8404813</v>
      </c>
      <c r="F5" s="27">
        <f>'Purchased Power Model'!N267</f>
        <v>1374953814.3709557</v>
      </c>
      <c r="G5" s="27">
        <f>'Purchased Power Model'!N268</f>
        <v>1399504550.6013935</v>
      </c>
      <c r="H5" s="27">
        <f>'Purchased Power Model'!N269</f>
        <v>1369103037.8964186</v>
      </c>
      <c r="I5" s="27">
        <f>'Purchased Power Model'!N270</f>
        <v>1421723729.3002489</v>
      </c>
      <c r="J5" s="71">
        <f>'Purchased Power Model'!N271</f>
        <v>1492547995.4658337</v>
      </c>
      <c r="K5" s="71">
        <f>'Purchased Power Model'!N272</f>
        <v>1496338276.8932972</v>
      </c>
      <c r="L5" s="6">
        <f>'Purchased Power Model'!N273</f>
        <v>1525289731.1147909</v>
      </c>
      <c r="M5" s="25">
        <f>'Purchased Power Model'!N274</f>
        <v>1546559961.5913262</v>
      </c>
      <c r="N5" s="25">
        <f>'Purchased Power Model'!N275</f>
        <v>1513105367.7049274</v>
      </c>
      <c r="O5" s="25">
        <f>'Purchased Power Model'!N276</f>
        <v>1513105367.7049274</v>
      </c>
    </row>
    <row r="6" spans="1:16">
      <c r="A6" s="17" t="s">
        <v>9</v>
      </c>
      <c r="B6" s="42">
        <f t="shared" ref="B6:L6" si="0">(B5-B4)/B4</f>
        <v>3.1868854403207512E-3</v>
      </c>
      <c r="C6" s="42">
        <f t="shared" si="0"/>
        <v>-6.3800107372632706E-3</v>
      </c>
      <c r="D6" s="42">
        <f t="shared" si="0"/>
        <v>2.1635759085327298E-2</v>
      </c>
      <c r="E6" s="42">
        <f t="shared" si="0"/>
        <v>-6.0814164590400352E-3</v>
      </c>
      <c r="F6" s="42">
        <f t="shared" si="0"/>
        <v>-3.4150240204152325E-2</v>
      </c>
      <c r="G6" s="42">
        <f t="shared" si="0"/>
        <v>-1.5424704198052502E-2</v>
      </c>
      <c r="H6" s="42">
        <f t="shared" si="0"/>
        <v>-3.0218663985483795E-2</v>
      </c>
      <c r="I6" s="42">
        <f t="shared" si="0"/>
        <v>-3.8810747793287116E-2</v>
      </c>
      <c r="J6" s="115">
        <f t="shared" si="0"/>
        <v>2.4891927576271324E-3</v>
      </c>
      <c r="K6" s="115">
        <f t="shared" si="0"/>
        <v>5.8732953284766165E-4</v>
      </c>
      <c r="L6" s="42">
        <f t="shared" si="0"/>
        <v>2.1597433469185232E-2</v>
      </c>
      <c r="M6" s="115">
        <f>(M5-M4)/M4</f>
        <v>3.7429840800832316E-2</v>
      </c>
      <c r="N6" s="21"/>
      <c r="O6" s="21"/>
    </row>
    <row r="7" spans="1:16">
      <c r="A7" s="17" t="s">
        <v>104</v>
      </c>
      <c r="B7" s="42"/>
      <c r="C7" s="42"/>
      <c r="D7" s="42"/>
      <c r="E7" s="42"/>
      <c r="F7" s="42"/>
      <c r="G7" s="42"/>
      <c r="H7" s="42"/>
      <c r="I7" s="42"/>
      <c r="J7" s="115"/>
      <c r="K7" s="115"/>
      <c r="L7" s="42"/>
      <c r="M7" s="115"/>
      <c r="N7" s="121">
        <f>-'Rate Class Energy Model'!G85*'Rate Class Energy Model'!$F$27</f>
        <v>-6866606.4455247587</v>
      </c>
      <c r="O7" s="121">
        <f>-'Rate Class Energy Model'!G86*'Rate Class Energy Model'!$F$27</f>
        <v>-14562388.008999677</v>
      </c>
    </row>
    <row r="8" spans="1:16">
      <c r="A8" s="17" t="s">
        <v>105</v>
      </c>
      <c r="B8" s="42"/>
      <c r="C8" s="42"/>
      <c r="D8" s="42"/>
      <c r="E8" s="42"/>
      <c r="F8" s="42"/>
      <c r="G8" s="42"/>
      <c r="H8" s="42"/>
      <c r="I8" s="42"/>
      <c r="J8" s="115"/>
      <c r="K8" s="115"/>
      <c r="L8" s="42"/>
      <c r="M8" s="115"/>
      <c r="N8" s="122">
        <f>N5+N7</f>
        <v>1506238761.2594028</v>
      </c>
      <c r="O8" s="122">
        <f>O5+O7</f>
        <v>1498542979.6959279</v>
      </c>
    </row>
    <row r="9" spans="1:16">
      <c r="A9" s="17"/>
      <c r="B9" s="39"/>
      <c r="C9" s="39"/>
      <c r="D9" s="39"/>
      <c r="E9" s="39"/>
      <c r="F9" s="39"/>
      <c r="G9" s="39"/>
      <c r="H9" s="39"/>
      <c r="I9" s="39"/>
      <c r="J9" s="72"/>
      <c r="K9" s="29"/>
      <c r="L9" s="1"/>
      <c r="M9" s="21"/>
      <c r="N9" s="21"/>
      <c r="O9" s="21"/>
    </row>
    <row r="10" spans="1:16">
      <c r="A10" s="17" t="s">
        <v>106</v>
      </c>
      <c r="B10" s="27">
        <f>'Rate Class Energy Model'!G12</f>
        <v>1216900996.0565405</v>
      </c>
      <c r="C10" s="27">
        <f>'Rate Class Energy Model'!G13</f>
        <v>1249737839.5310242</v>
      </c>
      <c r="D10" s="27">
        <f>'Rate Class Energy Model'!G14</f>
        <v>1304584908.3560057</v>
      </c>
      <c r="E10" s="27">
        <f>'Rate Class Energy Model'!G15</f>
        <v>1326077776.3556862</v>
      </c>
      <c r="F10" s="27">
        <f>'Rate Class Energy Model'!G16</f>
        <v>1367527466.4748852</v>
      </c>
      <c r="G10" s="27">
        <f>'Rate Class Energy Model'!G17</f>
        <v>1370617487.6535487</v>
      </c>
      <c r="H10" s="27">
        <f>'Rate Class Energy Model'!G18</f>
        <v>1360402643.8210773</v>
      </c>
      <c r="I10" s="27">
        <f>'Rate Class Energy Model'!G19</f>
        <v>1425614249.190577</v>
      </c>
      <c r="J10" s="71">
        <f>'Rate Class Energy Model'!G20</f>
        <v>1437226190.9883945</v>
      </c>
      <c r="K10" s="122">
        <f>'Rate Class Energy Model'!G21</f>
        <v>1449403353.4671628</v>
      </c>
      <c r="L10" s="6">
        <f>'Rate Class Energy Model'!G22</f>
        <v>1448373584.589437</v>
      </c>
      <c r="M10" s="25">
        <f>'Rate Class Energy Model'!G23</f>
        <v>1447246210.8553388</v>
      </c>
      <c r="N10" s="25">
        <f>'Rate Class Energy Model'!G24-'Rate Class Energy Model'!G85</f>
        <v>1453240676.0907559</v>
      </c>
      <c r="O10" s="25">
        <f>'Rate Class Energy Model'!G25-'Rate Class Energy Model'!G86</f>
        <v>1445815676.0907559</v>
      </c>
    </row>
    <row r="11" spans="1:16">
      <c r="A11" s="17"/>
      <c r="B11" s="39"/>
      <c r="C11" s="39"/>
      <c r="D11" s="39"/>
      <c r="E11" s="39"/>
      <c r="F11" s="39"/>
      <c r="G11" s="39"/>
      <c r="H11" s="39"/>
      <c r="I11" s="39"/>
      <c r="J11" s="21"/>
      <c r="K11" s="29"/>
      <c r="L11" s="1"/>
      <c r="M11" s="116"/>
      <c r="N11" s="21"/>
      <c r="O11" s="21"/>
    </row>
    <row r="12" spans="1:16" ht="15.6">
      <c r="A12" s="41" t="s">
        <v>60</v>
      </c>
      <c r="J12" s="21"/>
      <c r="K12" s="29"/>
      <c r="L12" s="1"/>
      <c r="M12" s="21"/>
      <c r="N12" s="21"/>
      <c r="O12" s="21"/>
    </row>
    <row r="13" spans="1:16">
      <c r="A13" s="40" t="str">
        <f>'Rate Class Energy Model'!H2</f>
        <v xml:space="preserve">Residential </v>
      </c>
      <c r="J13" s="21"/>
      <c r="K13" s="29"/>
      <c r="L13" s="1"/>
      <c r="M13" s="21"/>
      <c r="N13" s="21"/>
      <c r="O13" s="21"/>
    </row>
    <row r="14" spans="1:16">
      <c r="A14" t="s">
        <v>47</v>
      </c>
      <c r="B14" s="6">
        <f>'Rate Class Customer Model'!B5</f>
        <v>39235.5</v>
      </c>
      <c r="C14" s="6">
        <f>'Rate Class Customer Model'!B6</f>
        <v>40531</v>
      </c>
      <c r="D14" s="6">
        <f>'Rate Class Customer Model'!B7</f>
        <v>41768.5</v>
      </c>
      <c r="E14" s="6">
        <f>'Rate Class Customer Model'!B8</f>
        <v>42667.5</v>
      </c>
      <c r="F14" s="6">
        <f>'Rate Class Customer Model'!B9</f>
        <v>43381.5</v>
      </c>
      <c r="G14" s="6">
        <f>'Rate Class Customer Model'!B10</f>
        <v>44171.5</v>
      </c>
      <c r="H14" s="6">
        <f>'Rate Class Customer Model'!B11</f>
        <v>44853</v>
      </c>
      <c r="I14" s="6">
        <f>'Rate Class Customer Model'!B12</f>
        <v>45488</v>
      </c>
      <c r="J14" s="25">
        <f>'Rate Class Customer Model'!B13</f>
        <v>46194</v>
      </c>
      <c r="K14" s="25">
        <f>'Rate Class Customer Model'!B14</f>
        <v>46876.5</v>
      </c>
      <c r="L14" s="6">
        <f>'Rate Class Customer Model'!B15</f>
        <v>47602</v>
      </c>
      <c r="M14" s="25">
        <f>'Rate Class Customer Model'!B16</f>
        <v>48190.5</v>
      </c>
      <c r="N14" s="25">
        <f>'Rate Class Customer Model'!B17</f>
        <v>48705</v>
      </c>
      <c r="O14" s="25">
        <f>'Rate Class Customer Model'!B18</f>
        <v>49305</v>
      </c>
      <c r="P14" s="56"/>
    </row>
    <row r="15" spans="1:16">
      <c r="A15" t="s">
        <v>48</v>
      </c>
      <c r="B15" s="6">
        <f>'Rate Class Energy Model'!H12</f>
        <v>381172837.66807127</v>
      </c>
      <c r="C15" s="6">
        <f>'Rate Class Energy Model'!H13</f>
        <v>385085949.09113443</v>
      </c>
      <c r="D15" s="6">
        <f>'Rate Class Energy Model'!H14</f>
        <v>408053980.68531799</v>
      </c>
      <c r="E15" s="6">
        <f>'Rate Class Energy Model'!H15</f>
        <v>391947394.97747368</v>
      </c>
      <c r="F15" s="6">
        <f>'Rate Class Energy Model'!H16</f>
        <v>405071611.60313827</v>
      </c>
      <c r="G15" s="6">
        <f>'Rate Class Energy Model'!H17</f>
        <v>405533476.47927278</v>
      </c>
      <c r="H15" s="6">
        <f>'Rate Class Energy Model'!H18</f>
        <v>397106489.36571515</v>
      </c>
      <c r="I15" s="6">
        <f>'Rate Class Energy Model'!H19</f>
        <v>413251128.70022863</v>
      </c>
      <c r="J15" s="25">
        <f>'Rate Class Energy Model'!H20</f>
        <v>408768579.48301852</v>
      </c>
      <c r="K15" s="25">
        <f>'Rate Class Energy Model'!H21</f>
        <v>409922519.07816052</v>
      </c>
      <c r="L15" s="54">
        <f>'Rate Class Energy Model'!H22</f>
        <v>409442944.51723653</v>
      </c>
      <c r="M15" s="25">
        <f>'Rate Class Energy Model'!H23</f>
        <v>410104641.97000003</v>
      </c>
      <c r="N15" s="25">
        <f>'Rate Class Energy Model'!H73</f>
        <v>404568389.63494986</v>
      </c>
      <c r="O15" s="25">
        <f>'Rate Class Energy Model'!H74</f>
        <v>399341267.63941514</v>
      </c>
      <c r="P15" s="56"/>
    </row>
    <row r="16" spans="1:16">
      <c r="J16" s="21"/>
      <c r="K16" s="29"/>
      <c r="L16" s="54"/>
      <c r="M16" s="21"/>
      <c r="N16" s="21"/>
      <c r="O16" s="21"/>
    </row>
    <row r="17" spans="1:22">
      <c r="A17" s="40" t="str">
        <f>'Rate Class Energy Model'!I2</f>
        <v>General Service &lt; 50 kW</v>
      </c>
      <c r="J17" s="21"/>
      <c r="K17" s="29"/>
      <c r="L17" s="76"/>
      <c r="M17" s="21"/>
      <c r="N17" s="21"/>
      <c r="O17" s="21"/>
    </row>
    <row r="18" spans="1:22">
      <c r="A18" t="s">
        <v>47</v>
      </c>
      <c r="B18" s="6">
        <f>'Rate Class Customer Model'!C5</f>
        <v>4966.5</v>
      </c>
      <c r="C18" s="6">
        <f>'Rate Class Customer Model'!C6</f>
        <v>5001</v>
      </c>
      <c r="D18" s="6">
        <f>'Rate Class Customer Model'!C7</f>
        <v>5061.5</v>
      </c>
      <c r="E18" s="6">
        <f>'Rate Class Customer Model'!C8</f>
        <v>5119</v>
      </c>
      <c r="F18" s="6">
        <f>'Rate Class Customer Model'!C9</f>
        <v>5151</v>
      </c>
      <c r="G18" s="6">
        <f>'Rate Class Customer Model'!C10</f>
        <v>5183.5</v>
      </c>
      <c r="H18" s="6">
        <f>'Rate Class Customer Model'!C11</f>
        <v>5252.5</v>
      </c>
      <c r="I18" s="6">
        <f>'Rate Class Customer Model'!C12</f>
        <v>5342.5</v>
      </c>
      <c r="J18" s="25">
        <f>'Rate Class Customer Model'!C13</f>
        <v>5401.5</v>
      </c>
      <c r="K18" s="25">
        <f>'Rate Class Customer Model'!C14</f>
        <v>5453.5</v>
      </c>
      <c r="L18" s="6">
        <f>'Rate Class Customer Model'!C15</f>
        <v>5503</v>
      </c>
      <c r="M18" s="25">
        <f>'Rate Class Customer Model'!C16</f>
        <v>5546.5</v>
      </c>
      <c r="N18" s="25">
        <f>'Rate Class Customer Model'!C17</f>
        <v>5595.5</v>
      </c>
      <c r="O18" s="25">
        <f>'Rate Class Customer Model'!C18</f>
        <v>5632</v>
      </c>
      <c r="P18" s="56"/>
    </row>
    <row r="19" spans="1:22">
      <c r="A19" t="s">
        <v>48</v>
      </c>
      <c r="B19" s="6">
        <f>'Rate Class Energy Model'!I12</f>
        <v>178733408.91393787</v>
      </c>
      <c r="C19" s="6">
        <f>'Rate Class Energy Model'!I13</f>
        <v>181654717.71144453</v>
      </c>
      <c r="D19" s="6">
        <f>'Rate Class Energy Model'!I14</f>
        <v>187375741.76912484</v>
      </c>
      <c r="E19" s="6">
        <f>'Rate Class Energy Model'!I15</f>
        <v>189284333.47635177</v>
      </c>
      <c r="F19" s="6">
        <f>'Rate Class Energy Model'!I16</f>
        <v>192047824.57591051</v>
      </c>
      <c r="G19" s="6">
        <f>'Rate Class Energy Model'!I17</f>
        <v>185031934.17948633</v>
      </c>
      <c r="H19" s="6">
        <f>'Rate Class Energy Model'!I18</f>
        <v>179794279.15883675</v>
      </c>
      <c r="I19" s="6">
        <f>'Rate Class Energy Model'!I19</f>
        <v>185040277.853742</v>
      </c>
      <c r="J19" s="25">
        <f>'Rate Class Energy Model'!I20</f>
        <v>187070265.18729451</v>
      </c>
      <c r="K19" s="25">
        <f>'Rate Class Energy Model'!I21</f>
        <v>190189481.93352211</v>
      </c>
      <c r="L19" s="6">
        <f>'Rate Class Energy Model'!I22</f>
        <v>194737948.70414755</v>
      </c>
      <c r="M19" s="25">
        <f>'Rate Class Energy Model'!I23</f>
        <v>197096101.55000001</v>
      </c>
      <c r="N19" s="25">
        <f>'Rate Class Energy Model'!I73</f>
        <v>194995025.18158332</v>
      </c>
      <c r="O19" s="25">
        <f>'Rate Class Energy Model'!I74</f>
        <v>192108794.68761566</v>
      </c>
      <c r="P19" s="56"/>
    </row>
    <row r="20" spans="1:22">
      <c r="J20" s="21"/>
      <c r="K20" s="25"/>
      <c r="L20" s="1"/>
      <c r="M20" s="21"/>
      <c r="N20" s="21"/>
      <c r="O20" s="21"/>
    </row>
    <row r="21" spans="1:22">
      <c r="A21" s="40" t="str">
        <f>'Rate Class Energy Model'!J2</f>
        <v>General Service &gt; 50 to 4999 kW</v>
      </c>
      <c r="J21" s="21"/>
      <c r="K21" s="25"/>
      <c r="L21" s="1"/>
      <c r="M21" s="21"/>
      <c r="N21" s="21"/>
      <c r="O21" s="21"/>
    </row>
    <row r="22" spans="1:22">
      <c r="A22" t="s">
        <v>47</v>
      </c>
      <c r="B22" s="6">
        <f>'Rate Class Customer Model'!D5</f>
        <v>646</v>
      </c>
      <c r="C22" s="6">
        <f>'Rate Class Customer Model'!D6</f>
        <v>631.5</v>
      </c>
      <c r="D22" s="6">
        <f>'Rate Class Customer Model'!D7</f>
        <v>622.5</v>
      </c>
      <c r="E22" s="6">
        <f>'Rate Class Customer Model'!D8</f>
        <v>621.5</v>
      </c>
      <c r="F22" s="6">
        <f>'Rate Class Customer Model'!D9</f>
        <v>627</v>
      </c>
      <c r="G22" s="6">
        <f>'Rate Class Customer Model'!D10</f>
        <v>647</v>
      </c>
      <c r="H22" s="6">
        <f>'Rate Class Customer Model'!D11</f>
        <v>662.5</v>
      </c>
      <c r="I22" s="6">
        <f>'Rate Class Customer Model'!D12</f>
        <v>663</v>
      </c>
      <c r="J22" s="25">
        <f>'Rate Class Customer Model'!D13</f>
        <v>666</v>
      </c>
      <c r="K22" s="25">
        <f>'Rate Class Customer Model'!D14</f>
        <v>668</v>
      </c>
      <c r="L22" s="6">
        <f>'Rate Class Customer Model'!D15</f>
        <v>670</v>
      </c>
      <c r="M22" s="25">
        <f>'Rate Class Customer Model'!D16</f>
        <v>683</v>
      </c>
      <c r="N22" s="25">
        <f>'Rate Class Customer Model'!D17</f>
        <v>694</v>
      </c>
      <c r="O22" s="25">
        <f>'Rate Class Customer Model'!D18</f>
        <v>693</v>
      </c>
      <c r="P22" s="56"/>
    </row>
    <row r="23" spans="1:22">
      <c r="A23" t="s">
        <v>48</v>
      </c>
      <c r="B23" s="6">
        <f>'Rate Class Energy Model'!J12</f>
        <v>581134405.32007647</v>
      </c>
      <c r="C23" s="6">
        <f>'Rate Class Energy Model'!J13</f>
        <v>606602562.82914591</v>
      </c>
      <c r="D23" s="6">
        <f>'Rate Class Energy Model'!J14</f>
        <v>627713059.1572262</v>
      </c>
      <c r="E23" s="6">
        <f>'Rate Class Energy Model'!J15</f>
        <v>660327537.80390346</v>
      </c>
      <c r="F23" s="6">
        <f>'Rate Class Energy Model'!J16</f>
        <v>682785512.34885848</v>
      </c>
      <c r="G23" s="6">
        <f>'Rate Class Energy Model'!J17</f>
        <v>693615296.4854753</v>
      </c>
      <c r="H23" s="6">
        <f>'Rate Class Energy Model'!J18</f>
        <v>697125703.11720777</v>
      </c>
      <c r="I23" s="6">
        <f>'Rate Class Energy Model'!J19</f>
        <v>734775050.79018271</v>
      </c>
      <c r="J23" s="25">
        <f>'Rate Class Energy Model'!J20</f>
        <v>725123828.05401099</v>
      </c>
      <c r="K23" s="25">
        <f>'Rate Class Energy Model'!J21</f>
        <v>716491036.71370065</v>
      </c>
      <c r="L23" s="6">
        <f>'Rate Class Energy Model'!J22</f>
        <v>705737127.583372</v>
      </c>
      <c r="M23" s="25">
        <f>'Rate Class Energy Model'!J23</f>
        <v>699842687.66858912</v>
      </c>
      <c r="N23" s="25">
        <f>'Rate Class Energy Model'!J73</f>
        <v>711599630.24831927</v>
      </c>
      <c r="O23" s="25">
        <f>'Rate Class Energy Model'!J74</f>
        <v>710364299.16911459</v>
      </c>
      <c r="P23" s="56"/>
    </row>
    <row r="24" spans="1:22">
      <c r="A24" t="s">
        <v>49</v>
      </c>
      <c r="B24" s="6">
        <f>'Rate Class Load Model'!B4</f>
        <v>1578391.22</v>
      </c>
      <c r="C24" s="6">
        <f>'Rate Class Load Model'!B5</f>
        <v>1578376.8800000001</v>
      </c>
      <c r="D24" s="6">
        <f>'Rate Class Load Model'!B6</f>
        <v>1609886.5499999998</v>
      </c>
      <c r="E24" s="6">
        <f>'Rate Class Load Model'!B7</f>
        <v>1625473.94</v>
      </c>
      <c r="F24" s="6">
        <f>'Rate Class Load Model'!B8</f>
        <v>1650920.52526434</v>
      </c>
      <c r="G24" s="6">
        <f>'Rate Class Load Model'!B9</f>
        <v>1665645.4876041899</v>
      </c>
      <c r="H24" s="6">
        <f>'Rate Class Load Model'!B10</f>
        <v>1682115.0064068299</v>
      </c>
      <c r="I24" s="6">
        <f>'Rate Class Load Model'!B11</f>
        <v>1762264.4908548973</v>
      </c>
      <c r="J24" s="25">
        <f>'Rate Class Load Model'!B12</f>
        <v>1775934.1105933774</v>
      </c>
      <c r="K24" s="25">
        <f>'Rate Class Load Model'!B13</f>
        <v>1801338.9912232563</v>
      </c>
      <c r="L24" s="6">
        <f>'Rate Class Load Model'!B14</f>
        <v>1766194.5720479451</v>
      </c>
      <c r="M24" s="25">
        <f>'Rate Class Load Model'!B15</f>
        <v>1726654.3667194992</v>
      </c>
      <c r="N24" s="25">
        <f>'Rate Class Load Model'!B16</f>
        <v>1749824.0134108856</v>
      </c>
      <c r="O24" s="25">
        <f>'Rate Class Load Model'!B17</f>
        <v>1746786.3333798393</v>
      </c>
      <c r="P24" s="56"/>
    </row>
    <row r="25" spans="1:22">
      <c r="J25" s="21"/>
      <c r="K25" s="29"/>
      <c r="L25" s="1"/>
      <c r="M25" s="21"/>
      <c r="N25" s="21"/>
      <c r="O25" s="21"/>
    </row>
    <row r="26" spans="1:22">
      <c r="A26" s="40" t="str">
        <f>'Rate Class Energy Model'!K2</f>
        <v>Large User</v>
      </c>
      <c r="J26" s="21"/>
      <c r="K26" s="29"/>
      <c r="L26" s="1"/>
      <c r="M26" s="21"/>
      <c r="N26" s="21"/>
      <c r="O26" s="21"/>
    </row>
    <row r="27" spans="1:22">
      <c r="A27" t="s">
        <v>47</v>
      </c>
      <c r="B27" s="6">
        <f>'Rate Class Customer Model'!E5</f>
        <v>1</v>
      </c>
      <c r="C27" s="6">
        <f>'Rate Class Customer Model'!E6</f>
        <v>1</v>
      </c>
      <c r="D27" s="6">
        <f>'Rate Class Customer Model'!E7</f>
        <v>1</v>
      </c>
      <c r="E27" s="6">
        <f>'Rate Class Customer Model'!E8</f>
        <v>1</v>
      </c>
      <c r="F27" s="6">
        <f>'Rate Class Customer Model'!E9</f>
        <v>1</v>
      </c>
      <c r="G27" s="6">
        <f>'Rate Class Customer Model'!E10</f>
        <v>1</v>
      </c>
      <c r="H27" s="6">
        <f>'Rate Class Customer Model'!E11</f>
        <v>1</v>
      </c>
      <c r="I27" s="6">
        <f>'Rate Class Customer Model'!E12</f>
        <v>1</v>
      </c>
      <c r="J27" s="25">
        <f>'Rate Class Customer Model'!E13</f>
        <v>1</v>
      </c>
      <c r="K27" s="25">
        <f>'Rate Class Customer Model'!E14</f>
        <v>1</v>
      </c>
      <c r="L27" s="6">
        <f>'Rate Class Customer Model'!E15</f>
        <v>1</v>
      </c>
      <c r="M27" s="25">
        <f>'Rate Class Customer Model'!E16</f>
        <v>1</v>
      </c>
      <c r="N27" s="25">
        <f>'Rate Class Customer Model'!E17</f>
        <v>1</v>
      </c>
      <c r="O27" s="25">
        <f>'Rate Class Customer Model'!E18</f>
        <v>1</v>
      </c>
      <c r="P27" s="56"/>
      <c r="V27" s="188"/>
    </row>
    <row r="28" spans="1:22">
      <c r="A28" t="s">
        <v>48</v>
      </c>
      <c r="B28" s="6">
        <f>'Rate Class Energy Model'!K12</f>
        <v>65433585.883026376</v>
      </c>
      <c r="C28" s="6">
        <f>'Rate Class Energy Model'!K13</f>
        <v>66067057.488522306</v>
      </c>
      <c r="D28" s="6">
        <f>'Rate Class Energy Model'!K14</f>
        <v>70553959.956197128</v>
      </c>
      <c r="E28" s="6">
        <f>'Rate Class Energy Model'!K15</f>
        <v>73668917.559980094</v>
      </c>
      <c r="F28" s="6">
        <f>'Rate Class Energy Model'!K16</f>
        <v>77115460.578236669</v>
      </c>
      <c r="G28" s="6">
        <f>'Rate Class Energy Model'!K17</f>
        <v>76733607.732911587</v>
      </c>
      <c r="H28" s="6">
        <f>'Rate Class Energy Model'!K18</f>
        <v>76507951.361122951</v>
      </c>
      <c r="I28" s="6">
        <f>'Rate Class Energy Model'!K19</f>
        <v>82593009.154977307</v>
      </c>
      <c r="J28" s="25">
        <f>'Rate Class Energy Model'!K20</f>
        <v>84249636.77408801</v>
      </c>
      <c r="K28" s="25">
        <f>'Rate Class Energy Model'!K21</f>
        <v>86740766.777832463</v>
      </c>
      <c r="L28" s="6">
        <f>'Rate Class Energy Model'!K22</f>
        <v>90202678.814972758</v>
      </c>
      <c r="M28" s="25">
        <f>'Rate Class Energy Model'!K23</f>
        <v>91205251.099502489</v>
      </c>
      <c r="N28" s="25">
        <f>'Rate Class Energy Model'!K73</f>
        <v>93142619.573401704</v>
      </c>
      <c r="O28" s="25">
        <f>'Rate Class Energy Model'!K74</f>
        <v>95063905.676509753</v>
      </c>
      <c r="P28" s="56"/>
      <c r="V28" s="188"/>
    </row>
    <row r="29" spans="1:22">
      <c r="A29" t="s">
        <v>49</v>
      </c>
      <c r="B29" s="6">
        <f>'Rate Class Load Model'!C4</f>
        <v>120390.91</v>
      </c>
      <c r="C29" s="6">
        <f>'Rate Class Load Model'!C5</f>
        <v>136143.48000000001</v>
      </c>
      <c r="D29" s="6">
        <f>'Rate Class Load Model'!C6</f>
        <v>138634.15</v>
      </c>
      <c r="E29" s="6">
        <f>'Rate Class Load Model'!C7</f>
        <v>144512.38</v>
      </c>
      <c r="F29" s="6">
        <f>'Rate Class Load Model'!C8</f>
        <v>147257.86545956359</v>
      </c>
      <c r="G29" s="6">
        <f>'Rate Class Load Model'!C9</f>
        <v>145766.05751103099</v>
      </c>
      <c r="H29" s="6">
        <f>'Rate Class Load Model'!C10</f>
        <v>144355.31891495423</v>
      </c>
      <c r="I29" s="6">
        <f>'Rate Class Load Model'!C11</f>
        <v>155986.1286054042</v>
      </c>
      <c r="J29" s="25">
        <f>'Rate Class Load Model'!C12</f>
        <v>160630.4092067632</v>
      </c>
      <c r="K29" s="25">
        <f>'Rate Class Load Model'!C13</f>
        <v>165061.06945578445</v>
      </c>
      <c r="L29" s="6">
        <f>'Rate Class Load Model'!C14</f>
        <v>168360.64399864853</v>
      </c>
      <c r="M29" s="25">
        <f>'Rate Class Load Model'!C15</f>
        <v>166648.90999999997</v>
      </c>
      <c r="N29" s="25">
        <f>'Rate Class Load Model'!C16</f>
        <v>170072.65435918243</v>
      </c>
      <c r="O29" s="25">
        <f>'Rate Class Load Model'!C17</f>
        <v>173580.8037846073</v>
      </c>
      <c r="P29" s="56"/>
    </row>
    <row r="30" spans="1:22">
      <c r="J30" s="21"/>
      <c r="K30" s="25"/>
      <c r="L30" s="1"/>
      <c r="M30" s="21"/>
      <c r="N30" s="21"/>
      <c r="O30" s="21"/>
    </row>
    <row r="31" spans="1:22">
      <c r="A31" s="40" t="str">
        <f>'Rate Class Energy Model'!L2</f>
        <v>Direct Market Participant</v>
      </c>
      <c r="B31" s="118"/>
      <c r="C31" s="118"/>
      <c r="D31" s="118"/>
      <c r="E31" s="118"/>
      <c r="F31" s="118"/>
      <c r="G31" s="118"/>
      <c r="H31" s="118"/>
      <c r="I31" s="118"/>
      <c r="J31" s="21"/>
      <c r="K31" s="25"/>
      <c r="L31" s="118"/>
      <c r="M31" s="21"/>
      <c r="N31" s="21"/>
      <c r="O31" s="21"/>
    </row>
    <row r="32" spans="1:22">
      <c r="A32" t="s">
        <v>47</v>
      </c>
      <c r="B32" s="25">
        <f>'Rate Class Customer Model'!F5</f>
        <v>0</v>
      </c>
      <c r="C32" s="25">
        <f>'Rate Class Customer Model'!F6</f>
        <v>0</v>
      </c>
      <c r="D32" s="25">
        <f>'Rate Class Customer Model'!F7</f>
        <v>0</v>
      </c>
      <c r="E32" s="25">
        <f>'Rate Class Customer Model'!F8</f>
        <v>0</v>
      </c>
      <c r="F32" s="25">
        <f>'Rate Class Customer Model'!F9</f>
        <v>0</v>
      </c>
      <c r="G32" s="25">
        <f>'Rate Class Customer Model'!F10</f>
        <v>0</v>
      </c>
      <c r="H32" s="25">
        <f>'Rate Class Customer Model'!F11</f>
        <v>0</v>
      </c>
      <c r="I32" s="25">
        <f>'Rate Class Customer Model'!F12</f>
        <v>0</v>
      </c>
      <c r="J32" s="25">
        <f>'Rate Class Customer Model'!F13</f>
        <v>0</v>
      </c>
      <c r="K32" s="25">
        <f>'Rate Class Customer Model'!F14</f>
        <v>2</v>
      </c>
      <c r="L32" s="25">
        <f>'Rate Class Customer Model'!F15</f>
        <v>2</v>
      </c>
      <c r="M32" s="25">
        <f>'Rate Class Customer Model'!F16</f>
        <v>2</v>
      </c>
      <c r="N32" s="25">
        <f>'Rate Class Customer Model'!F17</f>
        <v>2</v>
      </c>
      <c r="O32" s="25">
        <f>'Rate Class Customer Model'!F18</f>
        <v>2</v>
      </c>
      <c r="P32" s="56"/>
    </row>
    <row r="33" spans="1:21">
      <c r="A33" t="s">
        <v>48</v>
      </c>
      <c r="B33" s="25">
        <f>'Rate Class Energy Model'!L11</f>
        <v>0</v>
      </c>
      <c r="C33" s="25">
        <f>'Rate Class Energy Model'!L12</f>
        <v>0</v>
      </c>
      <c r="D33" s="25">
        <f>'Rate Class Energy Model'!L13</f>
        <v>0</v>
      </c>
      <c r="E33" s="25">
        <f>'Rate Class Energy Model'!L14</f>
        <v>0</v>
      </c>
      <c r="F33" s="25">
        <f>'Rate Class Energy Model'!L15</f>
        <v>0</v>
      </c>
      <c r="G33" s="25">
        <f>'Rate Class Energy Model'!L17</f>
        <v>0</v>
      </c>
      <c r="H33" s="25">
        <f>'Rate Class Energy Model'!L18</f>
        <v>0</v>
      </c>
      <c r="I33" s="25">
        <f>'Rate Class Energy Model'!L19</f>
        <v>0</v>
      </c>
      <c r="J33" s="25">
        <f>'Rate Class Energy Model'!L20</f>
        <v>0</v>
      </c>
      <c r="K33" s="25">
        <f>'Rate Class Energy Model'!L21</f>
        <v>3552539.1999999997</v>
      </c>
      <c r="L33" s="25">
        <f>'Rate Class Energy Model'!L22</f>
        <v>7094070.2614379087</v>
      </c>
      <c r="M33" s="25">
        <f>'Rate Class Energy Model'!L23</f>
        <v>7002713.4100000001</v>
      </c>
      <c r="N33" s="25">
        <f>'Rate Class Energy Model'!L73</f>
        <v>6912533.0445563188</v>
      </c>
      <c r="O33" s="25">
        <f>'Rate Class Energy Model'!L74</f>
        <v>6823514.014417313</v>
      </c>
      <c r="P33" s="56"/>
    </row>
    <row r="34" spans="1:21">
      <c r="A34" t="s">
        <v>49</v>
      </c>
      <c r="B34" s="25">
        <f>'Rate Class Load Model'!D4</f>
        <v>0</v>
      </c>
      <c r="C34" s="25">
        <f>'Rate Class Load Model'!D5</f>
        <v>0</v>
      </c>
      <c r="D34" s="25">
        <f>'Rate Class Load Model'!D6</f>
        <v>0</v>
      </c>
      <c r="E34" s="25">
        <f>'Rate Class Load Model'!D7</f>
        <v>0</v>
      </c>
      <c r="F34" s="25">
        <f>'Rate Class Load Model'!D8</f>
        <v>0</v>
      </c>
      <c r="G34" s="25">
        <f>'Rate Class Load Model'!D9</f>
        <v>0</v>
      </c>
      <c r="H34" s="25">
        <f>'Rate Class Load Model'!D10</f>
        <v>0</v>
      </c>
      <c r="I34" s="25">
        <f>'Rate Class Load Model'!D11</f>
        <v>0</v>
      </c>
      <c r="J34" s="25">
        <f>'Rate Class Load Model'!D12</f>
        <v>0</v>
      </c>
      <c r="K34" s="25">
        <f>'Rate Class Load Model'!D13</f>
        <v>5848.1500000000005</v>
      </c>
      <c r="L34" s="25">
        <f>'Rate Class Load Model'!D14</f>
        <v>13337.56</v>
      </c>
      <c r="M34" s="25">
        <f>'Rate Class Load Model'!D15</f>
        <v>12738.060000000001</v>
      </c>
      <c r="N34" s="25">
        <f>'Rate Class Load Model'!D16</f>
        <v>12785.136115664116</v>
      </c>
      <c r="O34" s="25">
        <f>'Rate Class Load Model'!D17</f>
        <v>12620.490187771175</v>
      </c>
      <c r="P34" s="56"/>
    </row>
    <row r="35" spans="1:21">
      <c r="B35" s="118"/>
      <c r="C35" s="118"/>
      <c r="D35" s="118"/>
      <c r="E35" s="118"/>
      <c r="F35" s="118"/>
      <c r="G35" s="118"/>
      <c r="H35" s="118"/>
      <c r="I35" s="118"/>
      <c r="J35" s="21"/>
      <c r="K35" s="25"/>
      <c r="L35" s="118"/>
      <c r="M35" s="21"/>
      <c r="N35" s="21"/>
      <c r="O35" s="21"/>
    </row>
    <row r="36" spans="1:21">
      <c r="A36" s="262" t="str">
        <f>'Rate Class Energy Model'!M2</f>
        <v>Street Lights</v>
      </c>
      <c r="J36" s="21"/>
      <c r="K36" s="29"/>
      <c r="L36" s="1"/>
      <c r="M36" s="21"/>
      <c r="N36" s="21"/>
      <c r="O36" s="21"/>
    </row>
    <row r="37" spans="1:21">
      <c r="A37" t="s">
        <v>55</v>
      </c>
      <c r="B37" s="6">
        <f>'Rate Class Customer Model'!G5</f>
        <v>12291.5</v>
      </c>
      <c r="C37" s="6">
        <f>'Rate Class Customer Model'!G6</f>
        <v>12568</v>
      </c>
      <c r="D37" s="6">
        <f>'Rate Class Customer Model'!G7</f>
        <v>12934.5</v>
      </c>
      <c r="E37" s="6">
        <f>'Rate Class Customer Model'!G8</f>
        <v>13176.5</v>
      </c>
      <c r="F37" s="6">
        <f>'Rate Class Customer Model'!G9</f>
        <v>13357.5</v>
      </c>
      <c r="G37" s="6">
        <f>'Rate Class Customer Model'!G10</f>
        <v>13458.5</v>
      </c>
      <c r="H37" s="6">
        <f>'Rate Class Customer Model'!G11</f>
        <v>13548</v>
      </c>
      <c r="I37" s="6">
        <f>'Rate Class Customer Model'!G12</f>
        <v>13638.5</v>
      </c>
      <c r="J37" s="25">
        <f>'Rate Class Customer Model'!G13</f>
        <v>13677.5</v>
      </c>
      <c r="K37" s="25">
        <f>'Rate Class Customer Model'!G14</f>
        <v>13735.5</v>
      </c>
      <c r="L37" s="6">
        <f>'Rate Class Customer Model'!G15</f>
        <v>13840.5</v>
      </c>
      <c r="M37" s="25">
        <f>'Rate Class Customer Model'!G16</f>
        <v>13852.5</v>
      </c>
      <c r="N37" s="25">
        <f>'Rate Class Customer Model'!G17</f>
        <v>13808</v>
      </c>
      <c r="O37" s="25">
        <f>'Rate Class Customer Model'!G18</f>
        <v>13828</v>
      </c>
      <c r="P37" s="56"/>
    </row>
    <row r="38" spans="1:21">
      <c r="A38" t="s">
        <v>48</v>
      </c>
      <c r="B38" s="6">
        <f>'Rate Class Energy Model'!M12</f>
        <v>7223381.2999999998</v>
      </c>
      <c r="C38" s="6">
        <f>'Rate Class Energy Model'!M13</f>
        <v>7105156.64981349</v>
      </c>
      <c r="D38" s="6">
        <f>'Rate Class Energy Model'!M14</f>
        <v>7702552.7881396497</v>
      </c>
      <c r="E38" s="6">
        <f>'Rate Class Energy Model'!M15</f>
        <v>7713287.53797697</v>
      </c>
      <c r="F38" s="6">
        <f>'Rate Class Energy Model'!M16</f>
        <v>7734113.3687412096</v>
      </c>
      <c r="G38" s="6">
        <f>'Rate Class Energy Model'!M17</f>
        <v>7925792.7764028003</v>
      </c>
      <c r="H38" s="6">
        <f>'Rate Class Energy Model'!M18</f>
        <v>7921733.8181949798</v>
      </c>
      <c r="I38" s="6">
        <f>'Rate Class Energy Model'!M19</f>
        <v>7954314.8250846202</v>
      </c>
      <c r="J38" s="25">
        <f>'Rate Class Energy Model'!M20</f>
        <v>7939684.2810265999</v>
      </c>
      <c r="K38" s="25">
        <f>'Rate Class Energy Model'!M21</f>
        <v>8173988.9118281398</v>
      </c>
      <c r="L38" s="6">
        <f>'Rate Class Energy Model'!M22</f>
        <v>8074318.6435817797</v>
      </c>
      <c r="M38" s="25">
        <f>'Rate Class Energy Model'!M23</f>
        <v>7720856.5263360236</v>
      </c>
      <c r="N38" s="25">
        <f>'Rate Class Energy Model'!M73</f>
        <v>7639657.8944030702</v>
      </c>
      <c r="O38" s="25">
        <f>'Rate Class Energy Model'!M74</f>
        <v>7594659.600579272</v>
      </c>
      <c r="P38" s="56"/>
    </row>
    <row r="39" spans="1:21">
      <c r="A39" t="s">
        <v>49</v>
      </c>
      <c r="B39" s="6">
        <f>'Rate Class Load Model'!E4</f>
        <v>20125.75</v>
      </c>
      <c r="C39" s="6">
        <f>'Rate Class Load Model'!E5</f>
        <v>20541.026000000002</v>
      </c>
      <c r="D39" s="6">
        <f>'Rate Class Load Model'!E6</f>
        <v>21197.885999999999</v>
      </c>
      <c r="E39" s="6">
        <f>'Rate Class Load Model'!E7</f>
        <v>21492.79</v>
      </c>
      <c r="F39" s="6">
        <f>'Rate Class Load Model'!E8</f>
        <v>21702.994999999999</v>
      </c>
      <c r="G39" s="6">
        <f>'Rate Class Load Model'!E9</f>
        <v>21921.075000000001</v>
      </c>
      <c r="H39" s="6">
        <f>'Rate Class Load Model'!E10</f>
        <v>22078.296999999999</v>
      </c>
      <c r="I39" s="6">
        <f>'Rate Class Load Model'!E11</f>
        <v>22211.699000000001</v>
      </c>
      <c r="J39" s="25">
        <f>'Rate Class Load Model'!E12</f>
        <v>22236.633999999998</v>
      </c>
      <c r="K39" s="25">
        <f>'Rate Class Load Model'!E13</f>
        <v>22349.085999999999</v>
      </c>
      <c r="L39" s="6">
        <f>'Rate Class Load Model'!E14</f>
        <v>22476.001</v>
      </c>
      <c r="M39" s="25">
        <f>'Rate Class Load Model'!E15</f>
        <v>21568.221999999994</v>
      </c>
      <c r="N39" s="25">
        <f>'Rate Class Load Model'!E16</f>
        <v>21239.71699462146</v>
      </c>
      <c r="O39" s="25">
        <f>'Rate Class Load Model'!E17</f>
        <v>21114.613090851304</v>
      </c>
      <c r="P39" s="56"/>
    </row>
    <row r="40" spans="1:21">
      <c r="J40" s="21"/>
      <c r="K40" s="29"/>
      <c r="L40" s="1"/>
      <c r="M40" s="21"/>
      <c r="N40" s="21"/>
      <c r="O40" s="21"/>
    </row>
    <row r="41" spans="1:21">
      <c r="A41" s="40" t="str">
        <f>'Rate Class Energy Model'!N2</f>
        <v xml:space="preserve">Unmetered Loads </v>
      </c>
      <c r="J41" s="21"/>
      <c r="K41" s="29"/>
      <c r="L41" s="1"/>
      <c r="M41" s="21"/>
      <c r="N41" s="21"/>
      <c r="O41" s="21"/>
    </row>
    <row r="42" spans="1:21">
      <c r="A42" t="s">
        <v>55</v>
      </c>
      <c r="B42" s="6">
        <f>'Rate Class Customer Model'!H5</f>
        <v>458.5</v>
      </c>
      <c r="C42" s="6">
        <f>'Rate Class Customer Model'!H6</f>
        <v>490</v>
      </c>
      <c r="D42" s="6">
        <f>'Rate Class Customer Model'!H7</f>
        <v>490.5</v>
      </c>
      <c r="E42" s="6">
        <f>'Rate Class Customer Model'!H8</f>
        <v>530</v>
      </c>
      <c r="F42" s="6">
        <f>'Rate Class Customer Model'!H9</f>
        <v>553.5</v>
      </c>
      <c r="G42" s="6">
        <f>'Rate Class Customer Model'!H10</f>
        <v>533.5</v>
      </c>
      <c r="H42" s="6">
        <f>'Rate Class Customer Model'!H11</f>
        <v>534</v>
      </c>
      <c r="I42" s="6">
        <f>'Rate Class Customer Model'!H12</f>
        <v>536.5</v>
      </c>
      <c r="J42" s="25">
        <f>'Rate Class Customer Model'!H13</f>
        <v>499</v>
      </c>
      <c r="K42" s="25">
        <f>'Rate Class Customer Model'!H14</f>
        <v>471.5</v>
      </c>
      <c r="L42" s="6">
        <f>'Rate Class Customer Model'!H15</f>
        <v>496</v>
      </c>
      <c r="M42" s="25">
        <f>'Rate Class Customer Model'!H16</f>
        <v>519</v>
      </c>
      <c r="N42" s="25">
        <f>'Rate Class Customer Model'!H17</f>
        <v>541</v>
      </c>
      <c r="O42" s="25">
        <f>'Rate Class Customer Model'!H18</f>
        <v>563</v>
      </c>
      <c r="P42" s="56"/>
    </row>
    <row r="43" spans="1:21">
      <c r="A43" t="s">
        <v>48</v>
      </c>
      <c r="B43" s="6">
        <f>'Rate Class Energy Model'!N12</f>
        <v>3203376.9714285713</v>
      </c>
      <c r="C43" s="6">
        <f>'Rate Class Energy Model'!N13</f>
        <v>3222395.7609637091</v>
      </c>
      <c r="D43" s="6">
        <f>'Rate Class Energy Model'!N14</f>
        <v>3185614</v>
      </c>
      <c r="E43" s="6">
        <f>'Rate Class Energy Model'!N15</f>
        <v>3136305</v>
      </c>
      <c r="F43" s="6">
        <f>'Rate Class Energy Model'!N16</f>
        <v>2772944</v>
      </c>
      <c r="G43" s="6">
        <f>'Rate Class Energy Model'!N17</f>
        <v>1777380</v>
      </c>
      <c r="H43" s="6">
        <f>'Rate Class Energy Model'!N18</f>
        <v>1946487</v>
      </c>
      <c r="I43" s="6">
        <f>'Rate Class Energy Model'!N19</f>
        <v>2000467.8663616404</v>
      </c>
      <c r="J43" s="25">
        <f>'Rate Class Energy Model'!N20</f>
        <v>2043853.1914563591</v>
      </c>
      <c r="K43" s="25">
        <f>'Rate Class Energy Model'!N21</f>
        <v>2250008.2896429896</v>
      </c>
      <c r="L43" s="6">
        <f>'Rate Class Energy Model'!N22</f>
        <v>2352595.6525390111</v>
      </c>
      <c r="M43" s="25">
        <f>'Rate Class Energy Model'!N23</f>
        <v>2544974</v>
      </c>
      <c r="N43" s="25">
        <f>'Rate Class Energy Model'!N73</f>
        <v>2829382.1646586121</v>
      </c>
      <c r="O43" s="25">
        <f>'Rate Class Energy Model'!N74</f>
        <v>3140371.9950475856</v>
      </c>
      <c r="P43" s="56"/>
    </row>
    <row r="44" spans="1:21">
      <c r="B44" s="6"/>
      <c r="C44" s="6"/>
      <c r="D44" s="6"/>
      <c r="E44" s="6"/>
      <c r="F44" s="6"/>
      <c r="G44" s="6"/>
      <c r="H44" s="6"/>
      <c r="I44" s="6"/>
      <c r="J44" s="25"/>
      <c r="K44" s="25"/>
      <c r="L44" s="1"/>
      <c r="M44" s="21"/>
      <c r="N44" s="21"/>
      <c r="O44" s="21"/>
      <c r="P44" s="56"/>
    </row>
    <row r="45" spans="1:21">
      <c r="A45" s="40" t="s">
        <v>65</v>
      </c>
      <c r="J45" s="21"/>
      <c r="K45" s="29"/>
      <c r="L45" s="1"/>
      <c r="M45" s="21"/>
      <c r="N45" s="21"/>
      <c r="O45" s="21"/>
    </row>
    <row r="46" spans="1:21">
      <c r="A46" t="s">
        <v>47</v>
      </c>
      <c r="B46" s="6"/>
      <c r="C46" s="6"/>
      <c r="D46" s="6"/>
      <c r="E46" s="6"/>
      <c r="F46" s="6"/>
      <c r="G46" s="6"/>
      <c r="H46" s="6"/>
      <c r="I46" s="6"/>
      <c r="J46" s="25">
        <f>'Rate Class Customer Model'!I13+'Rate Class Customer Model'!J13</f>
        <v>1</v>
      </c>
      <c r="K46" s="25">
        <f>'Rate Class Customer Model'!I14+'Rate Class Customer Model'!J14</f>
        <v>1</v>
      </c>
      <c r="L46" s="77">
        <f>'Rate Class Customer Model'!I15+'Rate Class Customer Model'!J15</f>
        <v>1</v>
      </c>
      <c r="M46" s="117">
        <f>'Rate Class Customer Model'!I16+'Rate Class Customer Model'!J16</f>
        <v>1</v>
      </c>
      <c r="N46" s="25">
        <f>'Rate Class Customer Model'!I17+'Rate Class Customer Model'!J17</f>
        <v>1</v>
      </c>
      <c r="O46" s="25">
        <f>'Rate Class Customer Model'!I18+'Rate Class Customer Model'!J18</f>
        <v>1</v>
      </c>
      <c r="P46" s="56"/>
      <c r="S46" s="188"/>
      <c r="T46" s="188"/>
      <c r="U46" s="188"/>
    </row>
    <row r="47" spans="1:21">
      <c r="A47" t="s">
        <v>48</v>
      </c>
      <c r="B47" s="6"/>
      <c r="C47" s="6"/>
      <c r="D47" s="6"/>
      <c r="E47" s="6"/>
      <c r="F47" s="6"/>
      <c r="G47" s="6"/>
      <c r="H47" s="6"/>
      <c r="I47" s="6"/>
      <c r="J47" s="25">
        <f>'Rate Class Energy Model'!O20+'Rate Class Energy Model'!Q20</f>
        <v>22030344.017499771</v>
      </c>
      <c r="K47" s="25">
        <f>'Rate Class Energy Model'!O21+'Rate Class Energy Model'!Q21</f>
        <v>32083012.562475972</v>
      </c>
      <c r="L47" s="25">
        <f>'Rate Class Energy Model'!O22+'Rate Class Energy Model'!Q22</f>
        <v>30731900.412149169</v>
      </c>
      <c r="M47" s="25">
        <f>'Rate Class Energy Model'!O23+'Rate Class Energy Model'!Q23</f>
        <v>31728984.630911194</v>
      </c>
      <c r="N47" s="25">
        <f>'Rate Class Energy Model'!O73</f>
        <v>31553438.348883525</v>
      </c>
      <c r="O47" s="25">
        <f>'Rate Class Energy Model'!O74</f>
        <v>31378863.308056679</v>
      </c>
      <c r="P47" s="56"/>
      <c r="S47" s="188"/>
      <c r="U47" s="188"/>
    </row>
    <row r="48" spans="1:21">
      <c r="A48" t="s">
        <v>49</v>
      </c>
      <c r="B48" s="6"/>
      <c r="C48" s="6"/>
      <c r="D48" s="6"/>
      <c r="E48" s="6"/>
      <c r="F48" s="6"/>
      <c r="G48" s="6"/>
      <c r="H48" s="6"/>
      <c r="I48" s="6"/>
      <c r="J48" s="25">
        <f>'Rate Class Load Model'!F12</f>
        <v>39512.080000000002</v>
      </c>
      <c r="K48" s="25">
        <f>'Rate Class Load Model'!F13</f>
        <v>71506.52</v>
      </c>
      <c r="L48" s="25">
        <f>'Rate Class Load Model'!F14</f>
        <v>71173.789999999994</v>
      </c>
      <c r="M48" s="25">
        <f>'Rate Class Load Model'!F15</f>
        <v>72406.850000000006</v>
      </c>
      <c r="N48" s="25">
        <f>'Rate Class Load Model'!F16</f>
        <v>71802.963370070749</v>
      </c>
      <c r="O48" s="25">
        <f>'Rate Class Load Model'!F17</f>
        <v>71405.700633654502</v>
      </c>
      <c r="P48" s="56"/>
    </row>
    <row r="49" spans="1:15">
      <c r="J49" s="21"/>
      <c r="K49" s="29"/>
      <c r="L49" s="21"/>
      <c r="M49" s="21"/>
      <c r="N49" s="21"/>
      <c r="O49" s="21"/>
    </row>
    <row r="50" spans="1:15">
      <c r="A50" s="40" t="s">
        <v>10</v>
      </c>
      <c r="J50" s="21"/>
      <c r="K50" s="29"/>
      <c r="L50" s="21"/>
      <c r="M50" s="21"/>
      <c r="N50" s="21"/>
      <c r="O50" s="21"/>
    </row>
    <row r="51" spans="1:15">
      <c r="A51" t="s">
        <v>57</v>
      </c>
      <c r="B51" s="25">
        <f t="shared" ref="B51:H51" si="1">B14+B18+B22+B27+B37+B42+B46+B32</f>
        <v>57599</v>
      </c>
      <c r="C51" s="25">
        <f t="shared" si="1"/>
        <v>59222.5</v>
      </c>
      <c r="D51" s="25">
        <f t="shared" si="1"/>
        <v>60878.5</v>
      </c>
      <c r="E51" s="25">
        <f t="shared" si="1"/>
        <v>62115.5</v>
      </c>
      <c r="F51" s="25">
        <f t="shared" si="1"/>
        <v>63071.5</v>
      </c>
      <c r="G51" s="25">
        <f t="shared" si="1"/>
        <v>63995</v>
      </c>
      <c r="H51" s="25">
        <f t="shared" si="1"/>
        <v>64851</v>
      </c>
      <c r="I51" s="25">
        <f>I14+I18+I22+I27+I37+I42+I46+I32</f>
        <v>65669.5</v>
      </c>
      <c r="J51" s="25">
        <f t="shared" ref="J51:O51" si="2">J14+J18+J22+J27+J37+J42+J46+J32</f>
        <v>66440</v>
      </c>
      <c r="K51" s="25">
        <f t="shared" si="2"/>
        <v>67209</v>
      </c>
      <c r="L51" s="25">
        <f t="shared" si="2"/>
        <v>68115.5</v>
      </c>
      <c r="M51" s="25">
        <f t="shared" si="2"/>
        <v>68795.5</v>
      </c>
      <c r="N51" s="25">
        <f t="shared" si="2"/>
        <v>69347.5</v>
      </c>
      <c r="O51" s="25">
        <f t="shared" si="2"/>
        <v>70025</v>
      </c>
    </row>
    <row r="52" spans="1:15">
      <c r="A52" t="s">
        <v>48</v>
      </c>
      <c r="B52" s="25">
        <f t="shared" ref="B52:H52" si="3">B15+B19+B23+B28+B38+B43+B47+B33</f>
        <v>1216900996.0565405</v>
      </c>
      <c r="C52" s="25">
        <f t="shared" si="3"/>
        <v>1249737839.5310242</v>
      </c>
      <c r="D52" s="25">
        <f t="shared" si="3"/>
        <v>1304584908.3560057</v>
      </c>
      <c r="E52" s="25">
        <f t="shared" si="3"/>
        <v>1326077776.3556862</v>
      </c>
      <c r="F52" s="25">
        <f t="shared" si="3"/>
        <v>1367527466.4748852</v>
      </c>
      <c r="G52" s="25">
        <f t="shared" si="3"/>
        <v>1370617487.6535487</v>
      </c>
      <c r="H52" s="25">
        <f t="shared" si="3"/>
        <v>1360402643.8210773</v>
      </c>
      <c r="I52" s="25">
        <f>I15+I19+I23+I28+I38+I43+I47+I33</f>
        <v>1425614249.190577</v>
      </c>
      <c r="J52" s="25">
        <f t="shared" ref="J52:O52" si="4">J15+J19+J23+J28+J38+J43+J47+J33</f>
        <v>1437226190.9883945</v>
      </c>
      <c r="K52" s="25">
        <f t="shared" si="4"/>
        <v>1449403353.4671628</v>
      </c>
      <c r="L52" s="25">
        <f t="shared" si="4"/>
        <v>1448373584.589437</v>
      </c>
      <c r="M52" s="25">
        <f t="shared" si="4"/>
        <v>1447246210.8553388</v>
      </c>
      <c r="N52" s="25">
        <f t="shared" si="4"/>
        <v>1453240676.0907557</v>
      </c>
      <c r="O52" s="25">
        <f t="shared" si="4"/>
        <v>1445815676.0907559</v>
      </c>
    </row>
    <row r="53" spans="1:15">
      <c r="A53" t="s">
        <v>56</v>
      </c>
      <c r="B53" s="25">
        <f t="shared" ref="B53:H53" si="5">B24+B29+B39+B48+B34</f>
        <v>1718907.88</v>
      </c>
      <c r="C53" s="25">
        <f t="shared" si="5"/>
        <v>1735061.3860000002</v>
      </c>
      <c r="D53" s="25">
        <f t="shared" si="5"/>
        <v>1769718.5859999997</v>
      </c>
      <c r="E53" s="25">
        <f t="shared" si="5"/>
        <v>1791479.1099999999</v>
      </c>
      <c r="F53" s="25">
        <f t="shared" si="5"/>
        <v>1819881.3857239038</v>
      </c>
      <c r="G53" s="25">
        <f t="shared" si="5"/>
        <v>1833332.6201152208</v>
      </c>
      <c r="H53" s="25">
        <f t="shared" si="5"/>
        <v>1848548.6223217843</v>
      </c>
      <c r="I53" s="25">
        <f>I24+I29+I39+I48+I34</f>
        <v>1940462.3184603015</v>
      </c>
      <c r="J53" s="25">
        <f t="shared" ref="J53:O53" si="6">J24+J29+J39+J48+J34</f>
        <v>1998313.2338001407</v>
      </c>
      <c r="K53" s="25">
        <f t="shared" si="6"/>
        <v>2066103.8166790407</v>
      </c>
      <c r="L53" s="25">
        <f t="shared" si="6"/>
        <v>2041542.5670465936</v>
      </c>
      <c r="M53" s="25">
        <f t="shared" si="6"/>
        <v>2000016.4087194994</v>
      </c>
      <c r="N53" s="25">
        <f t="shared" si="6"/>
        <v>2025724.4842504244</v>
      </c>
      <c r="O53" s="25">
        <f t="shared" si="6"/>
        <v>2025507.9410767236</v>
      </c>
    </row>
    <row r="54" spans="1:15">
      <c r="B54" s="6"/>
      <c r="C54" s="6"/>
      <c r="D54" s="6"/>
      <c r="E54" s="6"/>
      <c r="F54" s="6"/>
      <c r="G54" s="6"/>
      <c r="I54" s="6"/>
      <c r="J54" s="25"/>
      <c r="K54" s="29"/>
      <c r="L54" s="117"/>
      <c r="M54" s="21"/>
      <c r="N54" s="21"/>
      <c r="O54" s="21"/>
    </row>
    <row r="55" spans="1:15">
      <c r="B55" s="6">
        <f>'Rate Class Customer Model'!K5</f>
        <v>57599</v>
      </c>
      <c r="C55" s="6">
        <f>'Rate Class Customer Model'!K6</f>
        <v>59222.5</v>
      </c>
      <c r="D55" s="6">
        <f>'Rate Class Customer Model'!K7</f>
        <v>60878.5</v>
      </c>
      <c r="E55" s="6">
        <f>'Rate Class Customer Model'!K8</f>
        <v>62115.5</v>
      </c>
      <c r="F55" s="6">
        <f>'Rate Class Customer Model'!K9</f>
        <v>63071.5</v>
      </c>
      <c r="G55" s="6">
        <f>'Rate Class Customer Model'!K10</f>
        <v>63995</v>
      </c>
      <c r="H55" s="6">
        <f>'Rate Class Customer Model'!K11</f>
        <v>64851</v>
      </c>
      <c r="I55" s="6">
        <f>'Rate Class Customer Model'!K12</f>
        <v>65669.5</v>
      </c>
      <c r="J55" s="25">
        <f>'Rate Class Customer Model'!K13</f>
        <v>66440</v>
      </c>
      <c r="K55" s="25">
        <f>'Rate Class Customer Model'!K14</f>
        <v>67209</v>
      </c>
      <c r="L55" s="25">
        <f>'Rate Class Customer Model'!K15</f>
        <v>68115.5</v>
      </c>
      <c r="M55" s="25">
        <f>'Rate Class Customer Model'!K16</f>
        <v>68795.5</v>
      </c>
      <c r="N55" s="25">
        <f>'Rate Class Customer Model'!K17</f>
        <v>69347.5</v>
      </c>
      <c r="O55" s="25">
        <f>'Rate Class Customer Model'!K18</f>
        <v>70025</v>
      </c>
    </row>
    <row r="56" spans="1:15">
      <c r="B56" s="6">
        <f>'Rate Class Energy Model'!G12</f>
        <v>1216900996.0565405</v>
      </c>
      <c r="C56" s="6">
        <f>'Rate Class Energy Model'!G13</f>
        <v>1249737839.5310242</v>
      </c>
      <c r="D56" s="6">
        <f>'Rate Class Energy Model'!G14</f>
        <v>1304584908.3560057</v>
      </c>
      <c r="E56" s="6">
        <f>'Rate Class Energy Model'!G15</f>
        <v>1326077776.3556862</v>
      </c>
      <c r="F56" s="6">
        <f>'Rate Class Energy Model'!G16</f>
        <v>1367527466.4748852</v>
      </c>
      <c r="G56" s="6">
        <f>'Rate Class Energy Model'!G17</f>
        <v>1370617487.6535487</v>
      </c>
      <c r="H56" s="6">
        <f>'Rate Class Energy Model'!G18</f>
        <v>1360402643.8210773</v>
      </c>
      <c r="I56" s="6">
        <f>'Rate Class Energy Model'!G19</f>
        <v>1425614249.190577</v>
      </c>
      <c r="J56" s="25">
        <f>'Rate Class Energy Model'!G20+'Rate Class Energy Model'!Q20</f>
        <v>1437226190.9883945</v>
      </c>
      <c r="K56" s="25">
        <f>'Rate Class Energy Model'!G21+'Rate Class Energy Model'!Q21</f>
        <v>1449403353.4671628</v>
      </c>
      <c r="L56" s="25">
        <f>'Rate Class Energy Model'!G22+'Rate Class Energy Model'!Q22</f>
        <v>1448373584.589437</v>
      </c>
      <c r="M56" s="25">
        <f>'Rate Class Energy Model'!G23+'Rate Class Energy Model'!Q23</f>
        <v>1447246210.8553388</v>
      </c>
      <c r="N56" s="25">
        <f>'Rate Class Energy Model'!P73</f>
        <v>1453240676.0907557</v>
      </c>
      <c r="O56" s="25">
        <f>'Rate Class Energy Model'!P74</f>
        <v>1445815676.0907559</v>
      </c>
    </row>
    <row r="57" spans="1:15">
      <c r="B57" s="6">
        <f>'Rate Class Load Model'!G4</f>
        <v>1718907.88</v>
      </c>
      <c r="C57" s="6">
        <f>'Rate Class Load Model'!G5</f>
        <v>1735061.3860000002</v>
      </c>
      <c r="D57" s="6">
        <f>'Rate Class Load Model'!G6</f>
        <v>1769718.5859999997</v>
      </c>
      <c r="E57" s="6">
        <f>'Rate Class Load Model'!G7</f>
        <v>1791479.1099999999</v>
      </c>
      <c r="F57" s="6">
        <f>'Rate Class Load Model'!G8</f>
        <v>1819881.3857239038</v>
      </c>
      <c r="G57" s="6">
        <f>'Rate Class Load Model'!G9</f>
        <v>1833332.6201152208</v>
      </c>
      <c r="H57" s="6">
        <f>'Rate Class Load Model'!G10</f>
        <v>1848548.6223217843</v>
      </c>
      <c r="I57" s="6">
        <f>'Rate Class Load Model'!G11</f>
        <v>1940462.3184603015</v>
      </c>
      <c r="J57" s="25">
        <f>'Rate Class Load Model'!G12</f>
        <v>1998313.2338001407</v>
      </c>
      <c r="K57" s="25">
        <f>'Rate Class Load Model'!G13</f>
        <v>2066103.8166790407</v>
      </c>
      <c r="L57" s="25">
        <f>'Rate Class Load Model'!G14</f>
        <v>2041542.5670465936</v>
      </c>
      <c r="M57" s="25">
        <f>'Rate Class Load Model'!G15</f>
        <v>2000016.4087194994</v>
      </c>
      <c r="N57" s="25">
        <f>'Rate Class Load Model'!G16</f>
        <v>2025724.4842504244</v>
      </c>
      <c r="O57" s="25">
        <f>'Rate Class Load Model'!G17</f>
        <v>2025507.9410767236</v>
      </c>
    </row>
    <row r="58" spans="1:15">
      <c r="J58" s="21"/>
      <c r="K58" s="29"/>
      <c r="L58" s="29"/>
    </row>
    <row r="59" spans="1:15">
      <c r="J59"/>
      <c r="K59"/>
    </row>
    <row r="60" spans="1:15">
      <c r="J60"/>
      <c r="K60"/>
    </row>
    <row r="61" spans="1:15">
      <c r="J61"/>
      <c r="K61"/>
    </row>
    <row r="62" spans="1:15">
      <c r="J62"/>
      <c r="K62"/>
    </row>
    <row r="63" spans="1:15">
      <c r="J63"/>
      <c r="K63"/>
    </row>
    <row r="64" spans="1:15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  <row r="79" spans="10:11">
      <c r="J79"/>
      <c r="K79"/>
    </row>
    <row r="80" spans="10:11">
      <c r="J80"/>
      <c r="K80"/>
    </row>
    <row r="81" spans="10:11">
      <c r="J81"/>
      <c r="K81"/>
    </row>
    <row r="82" spans="10:11">
      <c r="J82"/>
      <c r="K82"/>
    </row>
    <row r="83" spans="10:11">
      <c r="J83"/>
      <c r="K83"/>
    </row>
    <row r="84" spans="10:11">
      <c r="J84"/>
      <c r="K84"/>
    </row>
    <row r="85" spans="10:11">
      <c r="J85"/>
      <c r="K85"/>
    </row>
    <row r="86" spans="10:11">
      <c r="J86"/>
      <c r="K86"/>
    </row>
    <row r="87" spans="10:11">
      <c r="J87"/>
      <c r="K87"/>
    </row>
    <row r="88" spans="10:11">
      <c r="J88"/>
      <c r="K88"/>
    </row>
    <row r="89" spans="10:11">
      <c r="J89"/>
      <c r="K89"/>
    </row>
    <row r="90" spans="10:11">
      <c r="J90"/>
      <c r="K90"/>
    </row>
    <row r="91" spans="10:11">
      <c r="J91"/>
      <c r="K91"/>
    </row>
    <row r="92" spans="10:11">
      <c r="J92"/>
      <c r="K92"/>
    </row>
    <row r="93" spans="10:11">
      <c r="J93"/>
      <c r="K93"/>
    </row>
    <row r="94" spans="10:11">
      <c r="J94"/>
      <c r="K94"/>
    </row>
    <row r="95" spans="10:11">
      <c r="J95"/>
      <c r="K95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0"/>
  <sheetViews>
    <sheetView zoomScale="90" zoomScaleNormal="9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B3" sqref="B3"/>
    </sheetView>
  </sheetViews>
  <sheetFormatPr defaultRowHeight="13.2"/>
  <cols>
    <col min="1" max="1" width="11.88671875" style="38" customWidth="1"/>
    <col min="2" max="2" width="14.109375" style="161" customWidth="1"/>
    <col min="3" max="3" width="14.109375" style="174" customWidth="1"/>
    <col min="4" max="6" width="11.88671875" style="161" customWidth="1"/>
    <col min="7" max="7" width="18" style="6" customWidth="1"/>
    <col min="8" max="8" width="11.6640625" style="1" customWidth="1"/>
    <col min="9" max="9" width="13.44140625" style="1" customWidth="1"/>
    <col min="10" max="10" width="10.109375" style="1" customWidth="1"/>
    <col min="11" max="11" width="12.44140625" style="1" customWidth="1"/>
    <col min="12" max="13" width="14.88671875" style="21" customWidth="1"/>
    <col min="14" max="14" width="15.5546875" style="264" bestFit="1" customWidth="1"/>
    <col min="15" max="15" width="16" style="1" customWidth="1"/>
    <col min="16" max="17" width="8.44140625" style="1" customWidth="1"/>
    <col min="18" max="18" width="14.5546875" style="1" customWidth="1"/>
    <col min="19" max="19" width="8.44140625" style="1" customWidth="1"/>
    <col min="20" max="20" width="49.109375" customWidth="1"/>
    <col min="21" max="21" width="15.5546875" bestFit="1" customWidth="1"/>
    <col min="22" max="22" width="48.6640625" bestFit="1" customWidth="1"/>
    <col min="23" max="23" width="12.6640625" bestFit="1" customWidth="1"/>
    <col min="24" max="24" width="17.109375" customWidth="1"/>
    <col min="25" max="25" width="16.88671875" bestFit="1" customWidth="1"/>
    <col min="26" max="26" width="15.6640625" bestFit="1" customWidth="1"/>
    <col min="27" max="27" width="12.5546875" customWidth="1"/>
    <col min="28" max="28" width="14" bestFit="1" customWidth="1"/>
    <col min="29" max="29" width="42.44140625" bestFit="1" customWidth="1"/>
    <col min="30" max="30" width="15.5546875" bestFit="1" customWidth="1"/>
    <col min="31" max="31" width="26.109375" bestFit="1" customWidth="1"/>
    <col min="32" max="32" width="23" bestFit="1" customWidth="1"/>
    <col min="35" max="35" width="40.6640625" bestFit="1" customWidth="1"/>
    <col min="36" max="36" width="42.88671875" bestFit="1" customWidth="1"/>
  </cols>
  <sheetData>
    <row r="1" spans="1:30">
      <c r="L1" s="267" t="s">
        <v>153</v>
      </c>
      <c r="M1" s="197"/>
    </row>
    <row r="2" spans="1:30" s="206" customFormat="1" ht="66">
      <c r="A2" s="201"/>
      <c r="B2" s="202" t="s">
        <v>150</v>
      </c>
      <c r="C2" s="203" t="s">
        <v>152</v>
      </c>
      <c r="D2" s="203" t="s">
        <v>151</v>
      </c>
      <c r="E2" s="203" t="s">
        <v>158</v>
      </c>
      <c r="F2" s="203" t="s">
        <v>154</v>
      </c>
      <c r="G2" s="263" t="s">
        <v>169</v>
      </c>
      <c r="H2" s="204" t="s">
        <v>4</v>
      </c>
      <c r="I2" s="205" t="s">
        <v>5</v>
      </c>
      <c r="J2" s="205" t="s">
        <v>6</v>
      </c>
      <c r="K2" s="204" t="s">
        <v>19</v>
      </c>
      <c r="L2" s="204" t="s">
        <v>157</v>
      </c>
      <c r="M2" s="204" t="s">
        <v>160</v>
      </c>
      <c r="N2" s="204" t="s">
        <v>11</v>
      </c>
      <c r="O2" s="205" t="s">
        <v>12</v>
      </c>
      <c r="P2" s="204" t="s">
        <v>13</v>
      </c>
      <c r="Q2" s="204" t="s">
        <v>90</v>
      </c>
      <c r="U2" s="207"/>
      <c r="V2" t="s">
        <v>20</v>
      </c>
      <c r="W2"/>
      <c r="X2"/>
      <c r="Y2"/>
      <c r="Z2"/>
      <c r="AA2"/>
      <c r="AB2"/>
      <c r="AC2"/>
      <c r="AD2"/>
    </row>
    <row r="3" spans="1:30" s="29" customFormat="1" ht="13.8" thickBot="1">
      <c r="A3" s="50">
        <v>35095</v>
      </c>
      <c r="B3" s="199">
        <v>104439190</v>
      </c>
      <c r="C3" s="198"/>
      <c r="D3" s="198"/>
      <c r="E3" s="198"/>
      <c r="F3" s="199">
        <v>484330.66087686166</v>
      </c>
      <c r="G3" s="10">
        <f t="shared" ref="G3:G26" si="0">+B3-C3+D3-F3</f>
        <v>103954859.33912314</v>
      </c>
      <c r="H3" s="200">
        <v>789.4</v>
      </c>
      <c r="I3" s="200">
        <v>0</v>
      </c>
      <c r="J3" s="200">
        <v>31</v>
      </c>
      <c r="K3" s="200">
        <v>0</v>
      </c>
      <c r="L3" s="163">
        <v>196.7</v>
      </c>
      <c r="M3" s="212">
        <v>352</v>
      </c>
      <c r="N3" s="265">
        <f>$W$18+$W$19*H3+$W$20*I3+$W$21*J3+$W$22*K3+$W$23*L3+$W$24*M3</f>
        <v>101600261.89699776</v>
      </c>
      <c r="O3" s="49">
        <f>N3-G3</f>
        <v>-2354597.44212538</v>
      </c>
      <c r="P3" s="110">
        <f>O3/G3</f>
        <v>-2.2650191218518953E-2</v>
      </c>
      <c r="Q3" s="13">
        <f t="shared" ref="Q3:Q26" si="1">ABS(P3)</f>
        <v>2.2650191218518953E-2</v>
      </c>
      <c r="T3"/>
      <c r="U3"/>
      <c r="V3"/>
      <c r="W3"/>
      <c r="X3"/>
      <c r="Y3"/>
      <c r="Z3"/>
      <c r="AA3"/>
      <c r="AB3"/>
      <c r="AC3"/>
      <c r="AD3"/>
    </row>
    <row r="4" spans="1:30" s="29" customFormat="1">
      <c r="A4" s="50">
        <v>35124</v>
      </c>
      <c r="B4" s="199">
        <v>97116320</v>
      </c>
      <c r="C4" s="198"/>
      <c r="D4" s="198"/>
      <c r="E4" s="198"/>
      <c r="F4" s="199">
        <v>450371.27775051468</v>
      </c>
      <c r="G4" s="10">
        <f t="shared" si="0"/>
        <v>96665948.722249478</v>
      </c>
      <c r="H4" s="200">
        <v>712.6</v>
      </c>
      <c r="I4" s="200">
        <v>0</v>
      </c>
      <c r="J4" s="200">
        <v>29</v>
      </c>
      <c r="K4" s="200">
        <v>0</v>
      </c>
      <c r="L4" s="163">
        <v>196.7</v>
      </c>
      <c r="M4" s="212">
        <v>336</v>
      </c>
      <c r="N4" s="265">
        <f>$W$18+$W$19*H4+$W$20*I4+$W$21*J4+$W$22*K4+$W$23*L4+$W$24*M4</f>
        <v>94589894.582358167</v>
      </c>
      <c r="O4" s="49">
        <f>N4-G4</f>
        <v>-2076054.1398913115</v>
      </c>
      <c r="P4" s="110">
        <f>O4/G4</f>
        <v>-2.147658164361934E-2</v>
      </c>
      <c r="Q4" s="13">
        <f t="shared" si="1"/>
        <v>2.147658164361934E-2</v>
      </c>
      <c r="T4"/>
      <c r="U4"/>
      <c r="V4" s="33" t="s">
        <v>21</v>
      </c>
      <c r="W4" s="33"/>
      <c r="X4"/>
      <c r="Y4"/>
      <c r="Z4"/>
      <c r="AA4"/>
      <c r="AB4"/>
      <c r="AC4"/>
      <c r="AD4"/>
    </row>
    <row r="5" spans="1:30" s="29" customFormat="1">
      <c r="A5" s="50">
        <v>35155</v>
      </c>
      <c r="B5" s="199">
        <v>93206737</v>
      </c>
      <c r="C5" s="198"/>
      <c r="D5" s="198"/>
      <c r="E5" s="198"/>
      <c r="F5" s="199">
        <v>432240.814289979</v>
      </c>
      <c r="G5" s="10">
        <f t="shared" si="0"/>
        <v>92774496.185710028</v>
      </c>
      <c r="H5" s="200">
        <v>670.4</v>
      </c>
      <c r="I5" s="200">
        <v>0</v>
      </c>
      <c r="J5" s="200">
        <v>31</v>
      </c>
      <c r="K5" s="200">
        <v>1</v>
      </c>
      <c r="L5" s="163">
        <v>197</v>
      </c>
      <c r="M5" s="212">
        <v>336</v>
      </c>
      <c r="N5" s="265">
        <f>$W$18+$W$19*H5+$W$20*I5+$W$21*J5+$W$22*K5+$W$23*L5+$W$24*M5</f>
        <v>95475763.502728641</v>
      </c>
      <c r="O5" s="49">
        <f>N5-G5</f>
        <v>2701267.3170186132</v>
      </c>
      <c r="P5" s="110">
        <f>O5/G5</f>
        <v>2.9116485974888938E-2</v>
      </c>
      <c r="Q5" s="13">
        <f t="shared" si="1"/>
        <v>2.9116485974888938E-2</v>
      </c>
      <c r="T5"/>
      <c r="U5"/>
      <c r="V5" s="30" t="s">
        <v>22</v>
      </c>
      <c r="W5" s="30">
        <v>0.96200211204183428</v>
      </c>
      <c r="X5"/>
      <c r="Y5"/>
      <c r="Z5"/>
      <c r="AA5"/>
      <c r="AB5"/>
      <c r="AC5"/>
      <c r="AD5"/>
    </row>
    <row r="6" spans="1:30" s="29" customFormat="1">
      <c r="A6" s="50">
        <v>35185</v>
      </c>
      <c r="B6" s="199">
        <v>84435799</v>
      </c>
      <c r="C6" s="198"/>
      <c r="D6" s="198"/>
      <c r="E6" s="198"/>
      <c r="F6" s="199">
        <v>391566.10015202011</v>
      </c>
      <c r="G6" s="10">
        <f t="shared" si="0"/>
        <v>84044232.899847984</v>
      </c>
      <c r="H6" s="200">
        <v>421.9</v>
      </c>
      <c r="I6" s="200">
        <v>0</v>
      </c>
      <c r="J6" s="200">
        <v>30</v>
      </c>
      <c r="K6" s="200">
        <v>1</v>
      </c>
      <c r="L6" s="163">
        <v>198.9</v>
      </c>
      <c r="M6" s="212">
        <v>336</v>
      </c>
      <c r="N6" s="265">
        <f>$W$18+$W$19*H6+$W$20*I6+$W$21*J6+$W$22*K6+$W$23*L6+$W$24*M6</f>
        <v>87491677.751123339</v>
      </c>
      <c r="O6" s="49">
        <f>N6-G6</f>
        <v>3447444.8512753546</v>
      </c>
      <c r="P6" s="110">
        <f>O6/G6</f>
        <v>4.1019410045464166E-2</v>
      </c>
      <c r="Q6" s="13">
        <f t="shared" si="1"/>
        <v>4.1019410045464166E-2</v>
      </c>
      <c r="T6"/>
      <c r="U6"/>
      <c r="V6" s="30" t="s">
        <v>23</v>
      </c>
      <c r="W6" s="217">
        <v>0.92544806357294995</v>
      </c>
      <c r="X6"/>
      <c r="Y6"/>
      <c r="Z6"/>
      <c r="AA6"/>
      <c r="AB6"/>
      <c r="AC6"/>
      <c r="AD6"/>
    </row>
    <row r="7" spans="1:30" s="29" customFormat="1">
      <c r="A7" s="50">
        <v>35216</v>
      </c>
      <c r="B7" s="199">
        <v>79585420</v>
      </c>
      <c r="C7" s="198"/>
      <c r="D7" s="198"/>
      <c r="E7" s="198"/>
      <c r="F7" s="199">
        <v>369072.75003533257</v>
      </c>
      <c r="G7" s="10">
        <f t="shared" si="0"/>
        <v>79216347.249964669</v>
      </c>
      <c r="H7" s="200">
        <v>216.1</v>
      </c>
      <c r="I7" s="200">
        <v>10</v>
      </c>
      <c r="J7" s="200">
        <v>31</v>
      </c>
      <c r="K7" s="200">
        <v>1</v>
      </c>
      <c r="L7" s="163">
        <v>200.8</v>
      </c>
      <c r="M7" s="212">
        <v>352</v>
      </c>
      <c r="N7" s="265">
        <f>$W$18+$W$19*H7+$W$20*I7+$W$21*J7+$W$22*K7+$W$23*L7+$W$24*M7</f>
        <v>87373881.08286345</v>
      </c>
      <c r="O7" s="49">
        <f>N7-G7</f>
        <v>8157533.8328987807</v>
      </c>
      <c r="P7" s="110">
        <f>O7/G7</f>
        <v>0.10297790943525761</v>
      </c>
      <c r="Q7" s="13">
        <f t="shared" si="1"/>
        <v>0.10297790943525761</v>
      </c>
      <c r="T7"/>
      <c r="U7"/>
      <c r="V7" s="30" t="s">
        <v>24</v>
      </c>
      <c r="W7" s="30">
        <v>0.92342402909981736</v>
      </c>
      <c r="X7"/>
      <c r="Y7"/>
      <c r="Z7"/>
      <c r="AA7"/>
      <c r="AB7"/>
      <c r="AC7"/>
      <c r="AD7"/>
    </row>
    <row r="8" spans="1:30" s="29" customFormat="1">
      <c r="A8" s="50">
        <v>35246</v>
      </c>
      <c r="B8" s="199">
        <v>80505911</v>
      </c>
      <c r="C8" s="198"/>
      <c r="D8" s="198"/>
      <c r="E8" s="198"/>
      <c r="F8" s="199">
        <v>373341.47343658836</v>
      </c>
      <c r="G8" s="10">
        <f t="shared" si="0"/>
        <v>80132569.526563406</v>
      </c>
      <c r="H8" s="200">
        <v>29.4</v>
      </c>
      <c r="I8" s="200">
        <v>38.6</v>
      </c>
      <c r="J8" s="200">
        <v>30</v>
      </c>
      <c r="K8" s="200">
        <v>0</v>
      </c>
      <c r="L8" s="163">
        <v>202.6</v>
      </c>
      <c r="M8" s="212">
        <v>320</v>
      </c>
      <c r="N8" s="265">
        <f>$W$18+$W$19*H8+$W$20*I8+$W$21*J8+$W$22*K8+$W$23*L8+$W$24*M8</f>
        <v>86025331.180576086</v>
      </c>
      <c r="O8" s="49">
        <f>N8-G8</f>
        <v>5892761.6540126801</v>
      </c>
      <c r="P8" s="110">
        <f>O8/G8</f>
        <v>7.3537660015498066E-2</v>
      </c>
      <c r="Q8" s="13">
        <f t="shared" si="1"/>
        <v>7.3537660015498066E-2</v>
      </c>
      <c r="T8"/>
      <c r="U8"/>
      <c r="V8" s="30" t="s">
        <v>25</v>
      </c>
      <c r="W8" s="30">
        <v>3976702.5940884487</v>
      </c>
      <c r="X8"/>
      <c r="Y8"/>
      <c r="Z8"/>
      <c r="AA8"/>
      <c r="AB8"/>
      <c r="AC8"/>
      <c r="AD8"/>
    </row>
    <row r="9" spans="1:30" s="29" customFormat="1" ht="13.8" thickBot="1">
      <c r="A9" s="50">
        <v>35277</v>
      </c>
      <c r="B9" s="199">
        <v>82378016</v>
      </c>
      <c r="C9" s="198"/>
      <c r="D9" s="198"/>
      <c r="E9" s="198"/>
      <c r="F9" s="199">
        <v>382023.251338934</v>
      </c>
      <c r="G9" s="10">
        <f t="shared" si="0"/>
        <v>81995992.748661071</v>
      </c>
      <c r="H9" s="200">
        <v>18.899999999999999</v>
      </c>
      <c r="I9" s="200">
        <v>41.9</v>
      </c>
      <c r="J9" s="200">
        <v>31</v>
      </c>
      <c r="K9" s="200">
        <v>0</v>
      </c>
      <c r="L9" s="163">
        <v>203.7</v>
      </c>
      <c r="M9" s="212">
        <v>352</v>
      </c>
      <c r="N9" s="265">
        <f>$W$18+$W$19*H9+$W$20*I9+$W$21*J9+$W$22*K9+$W$23*L9+$W$24*M9</f>
        <v>90824297.489326552</v>
      </c>
      <c r="O9" s="49">
        <f>N9-G9</f>
        <v>8828304.7406654805</v>
      </c>
      <c r="P9" s="110">
        <f>O9/G9</f>
        <v>0.10766751452996634</v>
      </c>
      <c r="Q9" s="13">
        <f t="shared" si="1"/>
        <v>0.10766751452996634</v>
      </c>
      <c r="T9"/>
      <c r="U9"/>
      <c r="V9" s="31" t="s">
        <v>26</v>
      </c>
      <c r="W9" s="31">
        <v>228</v>
      </c>
      <c r="X9"/>
      <c r="Y9"/>
      <c r="Z9"/>
      <c r="AA9"/>
      <c r="AB9"/>
      <c r="AC9"/>
      <c r="AD9"/>
    </row>
    <row r="10" spans="1:30" s="29" customFormat="1">
      <c r="A10" s="50">
        <v>35308</v>
      </c>
      <c r="B10" s="199">
        <v>86219874</v>
      </c>
      <c r="C10" s="198"/>
      <c r="D10" s="198"/>
      <c r="E10" s="198"/>
      <c r="F10" s="199">
        <v>399839.64405640966</v>
      </c>
      <c r="G10" s="10">
        <f t="shared" si="0"/>
        <v>85820034.35594359</v>
      </c>
      <c r="H10" s="200">
        <v>6.2</v>
      </c>
      <c r="I10" s="200">
        <v>55.2</v>
      </c>
      <c r="J10" s="200">
        <v>31</v>
      </c>
      <c r="K10" s="200">
        <v>0</v>
      </c>
      <c r="L10" s="163">
        <v>202.1</v>
      </c>
      <c r="M10" s="212">
        <v>336</v>
      </c>
      <c r="N10" s="265">
        <f>$W$18+$W$19*H10+$W$20*I10+$W$21*J10+$W$22*K10+$W$23*L10+$W$24*M10</f>
        <v>91116476.707083777</v>
      </c>
      <c r="O10" s="49">
        <f>N10-G10</f>
        <v>5296442.3511401862</v>
      </c>
      <c r="P10" s="110">
        <f>O10/G10</f>
        <v>6.1715686679556465E-2</v>
      </c>
      <c r="Q10" s="13">
        <f t="shared" si="1"/>
        <v>6.1715686679556465E-2</v>
      </c>
      <c r="T10"/>
      <c r="U10"/>
      <c r="V10"/>
      <c r="W10"/>
      <c r="X10"/>
      <c r="Y10"/>
      <c r="Z10"/>
      <c r="AA10"/>
      <c r="AB10"/>
      <c r="AC10"/>
      <c r="AD10"/>
    </row>
    <row r="11" spans="1:30" s="29" customFormat="1" ht="13.8" thickBot="1">
      <c r="A11" s="50">
        <v>35338</v>
      </c>
      <c r="B11" s="199">
        <v>81006662</v>
      </c>
      <c r="C11" s="198"/>
      <c r="D11" s="198"/>
      <c r="E11" s="198"/>
      <c r="F11" s="199">
        <v>375663.67703434464</v>
      </c>
      <c r="G11" s="10">
        <f t="shared" si="0"/>
        <v>80630998.322965652</v>
      </c>
      <c r="H11" s="200">
        <v>102.2</v>
      </c>
      <c r="I11" s="200">
        <v>12.6</v>
      </c>
      <c r="J11" s="200">
        <v>30</v>
      </c>
      <c r="K11" s="200">
        <v>1</v>
      </c>
      <c r="L11" s="163">
        <v>199.2</v>
      </c>
      <c r="M11" s="212">
        <v>320</v>
      </c>
      <c r="N11" s="265">
        <f>$W$18+$W$19*H11+$W$20*I11+$W$21*J11+$W$22*K11+$W$23*L11+$W$24*M11</f>
        <v>79960536.681481078</v>
      </c>
      <c r="O11" s="49">
        <f>N11-G11</f>
        <v>-670461.64148457348</v>
      </c>
      <c r="P11" s="110">
        <f>O11/G11</f>
        <v>-8.3151846737535666E-3</v>
      </c>
      <c r="Q11" s="13">
        <f t="shared" si="1"/>
        <v>8.3151846737535666E-3</v>
      </c>
      <c r="T11"/>
      <c r="U11"/>
      <c r="V11" t="s">
        <v>27</v>
      </c>
      <c r="W11"/>
      <c r="X11"/>
      <c r="Y11"/>
      <c r="Z11"/>
      <c r="AA11"/>
      <c r="AB11"/>
      <c r="AC11"/>
      <c r="AD11"/>
    </row>
    <row r="12" spans="1:30" s="29" customFormat="1">
      <c r="A12" s="50">
        <v>35369</v>
      </c>
      <c r="B12" s="199">
        <v>84736264</v>
      </c>
      <c r="C12" s="198"/>
      <c r="D12" s="198"/>
      <c r="E12" s="198"/>
      <c r="F12" s="199">
        <v>392959.48908983514</v>
      </c>
      <c r="G12" s="10">
        <f t="shared" si="0"/>
        <v>84343304.510910168</v>
      </c>
      <c r="H12" s="200">
        <v>301.39999999999998</v>
      </c>
      <c r="I12" s="200">
        <v>0</v>
      </c>
      <c r="J12" s="200">
        <v>31</v>
      </c>
      <c r="K12" s="200">
        <v>1</v>
      </c>
      <c r="L12" s="163">
        <v>195.6</v>
      </c>
      <c r="M12" s="212">
        <v>352</v>
      </c>
      <c r="N12" s="265">
        <f>$W$18+$W$19*H12+$W$20*I12+$W$21*J12+$W$22*K12+$W$23*L12+$W$24*M12</f>
        <v>85649277.244199425</v>
      </c>
      <c r="O12" s="49">
        <f>N12-G12</f>
        <v>1305972.7332892567</v>
      </c>
      <c r="P12" s="110">
        <f>O12/G12</f>
        <v>1.5484011930316573E-2</v>
      </c>
      <c r="Q12" s="13">
        <f t="shared" si="1"/>
        <v>1.5484011930316573E-2</v>
      </c>
      <c r="T12"/>
      <c r="U12"/>
      <c r="V12" s="32"/>
      <c r="W12" s="32" t="s">
        <v>31</v>
      </c>
      <c r="X12" s="32" t="s">
        <v>32</v>
      </c>
      <c r="Y12" s="32" t="s">
        <v>33</v>
      </c>
      <c r="Z12" s="32" t="s">
        <v>34</v>
      </c>
      <c r="AA12" s="32" t="s">
        <v>35</v>
      </c>
      <c r="AB12"/>
      <c r="AC12"/>
      <c r="AD12"/>
    </row>
    <row r="13" spans="1:30" s="29" customFormat="1">
      <c r="A13" s="50">
        <v>35399</v>
      </c>
      <c r="B13" s="199">
        <v>91599265</v>
      </c>
      <c r="C13" s="198"/>
      <c r="D13" s="198"/>
      <c r="E13" s="198"/>
      <c r="F13" s="199">
        <v>424786.25651237607</v>
      </c>
      <c r="G13" s="10">
        <f t="shared" si="0"/>
        <v>91174478.743487626</v>
      </c>
      <c r="H13" s="200">
        <v>548.1</v>
      </c>
      <c r="I13" s="200">
        <v>0</v>
      </c>
      <c r="J13" s="200">
        <v>30</v>
      </c>
      <c r="K13" s="200">
        <v>1</v>
      </c>
      <c r="L13" s="163">
        <v>192.9</v>
      </c>
      <c r="M13" s="212">
        <v>320</v>
      </c>
      <c r="N13" s="265">
        <f>$W$18+$W$19*H13+$W$20*I13+$W$21*J13+$W$22*K13+$W$23*L13+$W$24*M13</f>
        <v>87306654.284833744</v>
      </c>
      <c r="O13" s="49">
        <f>N13-G13</f>
        <v>-3867824.4586538821</v>
      </c>
      <c r="P13" s="110">
        <f>O13/G13</f>
        <v>-4.2422227271906962E-2</v>
      </c>
      <c r="Q13" s="13">
        <f t="shared" si="1"/>
        <v>4.2422227271906962E-2</v>
      </c>
      <c r="T13"/>
      <c r="U13"/>
      <c r="V13" s="30" t="s">
        <v>28</v>
      </c>
      <c r="W13" s="30">
        <v>6</v>
      </c>
      <c r="X13" s="30">
        <v>4.3384202796662688E+16</v>
      </c>
      <c r="Y13" s="30">
        <v>7230700466110448</v>
      </c>
      <c r="Z13" s="30">
        <v>457.22939794629184</v>
      </c>
      <c r="AA13" s="30">
        <v>1.3722733395143364E-121</v>
      </c>
      <c r="AB13"/>
      <c r="AC13"/>
      <c r="AD13"/>
    </row>
    <row r="14" spans="1:30" s="29" customFormat="1">
      <c r="A14" s="50">
        <v>35430</v>
      </c>
      <c r="B14" s="199">
        <v>94268053</v>
      </c>
      <c r="C14" s="198"/>
      <c r="D14" s="198"/>
      <c r="E14" s="198"/>
      <c r="F14" s="199">
        <v>437162.60542680405</v>
      </c>
      <c r="G14" s="10">
        <f t="shared" si="0"/>
        <v>93830890.394573197</v>
      </c>
      <c r="H14" s="200">
        <v>596.5</v>
      </c>
      <c r="I14" s="200">
        <v>0</v>
      </c>
      <c r="J14" s="200">
        <v>31</v>
      </c>
      <c r="K14" s="200">
        <v>0</v>
      </c>
      <c r="L14" s="163">
        <v>191.9</v>
      </c>
      <c r="M14" s="212">
        <v>320</v>
      </c>
      <c r="N14" s="265">
        <f>$W$18+$W$19*H14+$W$20*I14+$W$21*J14+$W$22*K14+$W$23*L14+$W$24*M14</f>
        <v>92024569.472985119</v>
      </c>
      <c r="O14" s="49">
        <f>N14-G14</f>
        <v>-1806320.9215880781</v>
      </c>
      <c r="P14" s="110">
        <f>O14/G14</f>
        <v>-1.9250812967800086E-2</v>
      </c>
      <c r="Q14" s="13">
        <f t="shared" si="1"/>
        <v>1.9250812967800086E-2</v>
      </c>
      <c r="T14"/>
      <c r="U14"/>
      <c r="V14" s="30" t="s">
        <v>29</v>
      </c>
      <c r="W14" s="30">
        <v>221</v>
      </c>
      <c r="X14" s="30">
        <v>3494930138324385</v>
      </c>
      <c r="Y14" s="30">
        <v>15814163521829.797</v>
      </c>
      <c r="Z14" s="30"/>
      <c r="AA14" s="30"/>
      <c r="AB14"/>
      <c r="AC14"/>
      <c r="AD14"/>
    </row>
    <row r="15" spans="1:30" s="29" customFormat="1" ht="13.8" thickBot="1">
      <c r="A15" s="50">
        <v>35461</v>
      </c>
      <c r="B15" s="199">
        <v>105017710.30000001</v>
      </c>
      <c r="C15" s="198"/>
      <c r="D15" s="198"/>
      <c r="E15" s="198"/>
      <c r="F15" s="199">
        <v>453612.74805196561</v>
      </c>
      <c r="G15" s="10">
        <f t="shared" si="0"/>
        <v>104564097.55194804</v>
      </c>
      <c r="H15" s="200">
        <v>777.9</v>
      </c>
      <c r="I15" s="200">
        <v>0</v>
      </c>
      <c r="J15" s="200">
        <v>31</v>
      </c>
      <c r="K15" s="200">
        <v>0</v>
      </c>
      <c r="L15" s="163">
        <v>192.6</v>
      </c>
      <c r="M15" s="212">
        <v>352</v>
      </c>
      <c r="N15" s="265">
        <f>$W$18+$W$19*H15+$W$20*I15+$W$21*J15+$W$22*K15+$W$23*L15+$W$24*M15</f>
        <v>99473388.428685382</v>
      </c>
      <c r="O15" s="49">
        <f>N15-G15</f>
        <v>-5090709.1232626587</v>
      </c>
      <c r="P15" s="110">
        <f>O15/G15</f>
        <v>-4.8685057705715531E-2</v>
      </c>
      <c r="Q15" s="13">
        <f t="shared" si="1"/>
        <v>4.8685057705715531E-2</v>
      </c>
      <c r="T15"/>
      <c r="U15"/>
      <c r="V15" s="31" t="s">
        <v>10</v>
      </c>
      <c r="W15" s="31">
        <v>227</v>
      </c>
      <c r="X15" s="31">
        <v>4.6879132934987072E+16</v>
      </c>
      <c r="Y15" s="31"/>
      <c r="Z15" s="31"/>
      <c r="AA15" s="31"/>
      <c r="AB15"/>
      <c r="AC15"/>
      <c r="AD15"/>
    </row>
    <row r="16" spans="1:30" s="29" customFormat="1" ht="13.8" thickBot="1">
      <c r="A16" s="50">
        <v>35489</v>
      </c>
      <c r="B16" s="199">
        <v>91033887.199999988</v>
      </c>
      <c r="C16" s="198"/>
      <c r="D16" s="198"/>
      <c r="E16" s="198"/>
      <c r="F16" s="199">
        <v>393211.12239717768</v>
      </c>
      <c r="G16" s="10">
        <f t="shared" si="0"/>
        <v>90640676.077602804</v>
      </c>
      <c r="H16" s="200">
        <v>615</v>
      </c>
      <c r="I16" s="200">
        <v>0</v>
      </c>
      <c r="J16" s="200">
        <v>28</v>
      </c>
      <c r="K16" s="200">
        <v>0</v>
      </c>
      <c r="L16" s="163">
        <v>193.4</v>
      </c>
      <c r="M16" s="212">
        <v>320</v>
      </c>
      <c r="N16" s="265">
        <f>$W$18+$W$19*H16+$W$20*I16+$W$21*J16+$W$22*K16+$W$23*L16+$W$24*M16</f>
        <v>87460058.712198198</v>
      </c>
      <c r="O16" s="49">
        <f>N16-G16</f>
        <v>-3180617.3654046059</v>
      </c>
      <c r="P16" s="110">
        <f>O16/G16</f>
        <v>-3.5090397634297131E-2</v>
      </c>
      <c r="Q16" s="13">
        <f t="shared" si="1"/>
        <v>3.5090397634297131E-2</v>
      </c>
      <c r="T16"/>
      <c r="U16"/>
      <c r="V16"/>
      <c r="W16"/>
      <c r="X16"/>
      <c r="Y16"/>
      <c r="Z16"/>
      <c r="AA16"/>
      <c r="AB16"/>
      <c r="AC16"/>
      <c r="AD16"/>
    </row>
    <row r="17" spans="1:30" s="29" customFormat="1">
      <c r="A17" s="50">
        <v>35520</v>
      </c>
      <c r="B17" s="199">
        <v>95075285.900000006</v>
      </c>
      <c r="C17" s="198"/>
      <c r="D17" s="198"/>
      <c r="E17" s="198"/>
      <c r="F17" s="199">
        <v>410667.51108670188</v>
      </c>
      <c r="G17" s="10">
        <f t="shared" si="0"/>
        <v>94664618.388913304</v>
      </c>
      <c r="H17" s="200">
        <v>619.1</v>
      </c>
      <c r="I17" s="200">
        <v>0</v>
      </c>
      <c r="J17" s="200">
        <v>31</v>
      </c>
      <c r="K17" s="200">
        <v>1</v>
      </c>
      <c r="L17" s="163">
        <v>193.6</v>
      </c>
      <c r="M17" s="212">
        <v>304</v>
      </c>
      <c r="N17" s="265">
        <f>$W$18+$W$19*H17+$W$20*I17+$W$21*J17+$W$22*K17+$W$23*L17+$W$24*M17</f>
        <v>90453598.741432145</v>
      </c>
      <c r="O17" s="49">
        <f>N17-G17</f>
        <v>-4211019.6474811584</v>
      </c>
      <c r="P17" s="110">
        <f>O17/G17</f>
        <v>-4.448356438918824E-2</v>
      </c>
      <c r="Q17" s="13">
        <f t="shared" si="1"/>
        <v>4.448356438918824E-2</v>
      </c>
      <c r="T17"/>
      <c r="U17"/>
      <c r="V17" s="32"/>
      <c r="W17" s="32" t="s">
        <v>36</v>
      </c>
      <c r="X17" s="32" t="s">
        <v>25</v>
      </c>
      <c r="Y17" s="32" t="s">
        <v>37</v>
      </c>
      <c r="Z17" s="32" t="s">
        <v>38</v>
      </c>
      <c r="AA17" s="32" t="s">
        <v>39</v>
      </c>
      <c r="AB17" s="32" t="s">
        <v>40</v>
      </c>
      <c r="AC17" s="32" t="s">
        <v>148</v>
      </c>
      <c r="AD17" s="32" t="s">
        <v>149</v>
      </c>
    </row>
    <row r="18" spans="1:30" s="29" customFormat="1">
      <c r="A18" s="50">
        <v>35550</v>
      </c>
      <c r="B18" s="199">
        <v>85363046.900000006</v>
      </c>
      <c r="C18" s="198"/>
      <c r="D18" s="198"/>
      <c r="E18" s="198"/>
      <c r="F18" s="199">
        <v>368716.53529469325</v>
      </c>
      <c r="G18" s="10">
        <f t="shared" si="0"/>
        <v>84994330.364705309</v>
      </c>
      <c r="H18" s="200">
        <v>391.9</v>
      </c>
      <c r="I18" s="200">
        <v>0</v>
      </c>
      <c r="J18" s="200">
        <v>30</v>
      </c>
      <c r="K18" s="200">
        <v>1</v>
      </c>
      <c r="L18" s="163">
        <v>194.9</v>
      </c>
      <c r="M18" s="212">
        <v>352</v>
      </c>
      <c r="N18" s="265">
        <f>$W$18+$W$19*H18+$W$20*I18+$W$21*J18+$W$22*K18+$W$23*L18+$W$24*M18</f>
        <v>85943288.596674934</v>
      </c>
      <c r="O18" s="49">
        <f>N18-G18</f>
        <v>948958.23196962476</v>
      </c>
      <c r="P18" s="110">
        <f>O18/G18</f>
        <v>1.1164959214311177E-2</v>
      </c>
      <c r="Q18" s="13">
        <f t="shared" si="1"/>
        <v>1.1164959214311177E-2</v>
      </c>
      <c r="T18"/>
      <c r="U18"/>
      <c r="V18" s="30" t="s">
        <v>30</v>
      </c>
      <c r="W18" s="30">
        <v>-89429692.453633219</v>
      </c>
      <c r="X18" s="30">
        <v>10881326.133636246</v>
      </c>
      <c r="Y18" s="30">
        <v>-8.2186391029296555</v>
      </c>
      <c r="Z18" s="30">
        <v>1.7377295119116348E-14</v>
      </c>
      <c r="AA18" s="30">
        <v>-110874134.16273783</v>
      </c>
      <c r="AB18" s="30">
        <v>-67985250.744528607</v>
      </c>
      <c r="AC18" s="30">
        <v>-110874134.16273783</v>
      </c>
      <c r="AD18" s="30">
        <v>-67985250.744528607</v>
      </c>
    </row>
    <row r="19" spans="1:30" s="29" customFormat="1">
      <c r="A19" s="50">
        <v>35581</v>
      </c>
      <c r="B19" s="199">
        <v>81823269.700000003</v>
      </c>
      <c r="C19" s="198"/>
      <c r="D19" s="198"/>
      <c r="E19" s="198"/>
      <c r="F19" s="199">
        <v>353426.84693073272</v>
      </c>
      <c r="G19" s="10">
        <f t="shared" si="0"/>
        <v>81469842.853069276</v>
      </c>
      <c r="H19" s="200">
        <v>289</v>
      </c>
      <c r="I19" s="200">
        <v>0</v>
      </c>
      <c r="J19" s="200">
        <v>31</v>
      </c>
      <c r="K19" s="200">
        <v>1</v>
      </c>
      <c r="L19" s="163">
        <v>197.9</v>
      </c>
      <c r="M19" s="212">
        <v>336</v>
      </c>
      <c r="N19" s="265">
        <f>$W$18+$W$19*H19+$W$20*I19+$W$21*J19+$W$22*K19+$W$23*L19+$W$24*M19</f>
        <v>85269640.399828404</v>
      </c>
      <c r="O19" s="49">
        <f>N19-G19</f>
        <v>3799797.5467591286</v>
      </c>
      <c r="P19" s="110">
        <f>O19/G19</f>
        <v>4.664054101113288E-2</v>
      </c>
      <c r="Q19" s="13">
        <f t="shared" si="1"/>
        <v>4.664054101113288E-2</v>
      </c>
      <c r="T19"/>
      <c r="U19"/>
      <c r="V19" s="215" t="s">
        <v>4</v>
      </c>
      <c r="W19" s="30">
        <v>27799.738797255657</v>
      </c>
      <c r="X19" s="30">
        <v>1569.6296701820922</v>
      </c>
      <c r="Y19" s="30">
        <v>17.711017652992389</v>
      </c>
      <c r="Z19" s="30">
        <v>2.7838602529897722E-44</v>
      </c>
      <c r="AA19" s="30">
        <v>24706.381282397975</v>
      </c>
      <c r="AB19" s="30">
        <v>30893.096312113339</v>
      </c>
      <c r="AC19" s="30">
        <v>24706.381282397975</v>
      </c>
      <c r="AD19" s="30">
        <v>30893.096312113339</v>
      </c>
    </row>
    <row r="20" spans="1:30" s="29" customFormat="1">
      <c r="A20" s="50">
        <v>35611</v>
      </c>
      <c r="B20" s="199">
        <v>85276288.799999997</v>
      </c>
      <c r="C20" s="198"/>
      <c r="D20" s="198"/>
      <c r="E20" s="198"/>
      <c r="F20" s="199">
        <v>368341.79297699896</v>
      </c>
      <c r="G20" s="10">
        <f t="shared" si="0"/>
        <v>84907947.007022992</v>
      </c>
      <c r="H20" s="200">
        <v>30.4</v>
      </c>
      <c r="I20" s="200">
        <v>50.4</v>
      </c>
      <c r="J20" s="200">
        <v>30</v>
      </c>
      <c r="K20" s="200">
        <v>0</v>
      </c>
      <c r="L20" s="163">
        <v>202.7</v>
      </c>
      <c r="M20" s="212">
        <v>336</v>
      </c>
      <c r="N20" s="265">
        <f>$W$18+$W$19*H20+$W$20*I20+$W$21*J20+$W$22*K20+$W$23*L20+$W$24*M20</f>
        <v>89274503.977783397</v>
      </c>
      <c r="O20" s="49">
        <f>N20-G20</f>
        <v>4366556.9707604051</v>
      </c>
      <c r="P20" s="110">
        <f>O20/G20</f>
        <v>5.142695265496449E-2</v>
      </c>
      <c r="Q20" s="13">
        <f t="shared" si="1"/>
        <v>5.142695265496449E-2</v>
      </c>
      <c r="T20"/>
      <c r="U20"/>
      <c r="V20" s="216" t="s">
        <v>5</v>
      </c>
      <c r="W20" s="30">
        <v>180389.2861692243</v>
      </c>
      <c r="X20" s="30">
        <v>15809.555475499752</v>
      </c>
      <c r="Y20" s="30">
        <v>11.410142837271778</v>
      </c>
      <c r="Z20" s="30">
        <v>5.1789475408344809E-24</v>
      </c>
      <c r="AA20" s="30">
        <v>149232.50558223197</v>
      </c>
      <c r="AB20" s="30">
        <v>211546.06675621663</v>
      </c>
      <c r="AC20" s="30">
        <v>149232.50558223197</v>
      </c>
      <c r="AD20" s="30">
        <v>211546.06675621663</v>
      </c>
    </row>
    <row r="21" spans="1:30" s="29" customFormat="1">
      <c r="A21" s="50">
        <v>35642</v>
      </c>
      <c r="B21" s="199">
        <v>88667230.400000006</v>
      </c>
      <c r="C21" s="198"/>
      <c r="D21" s="198"/>
      <c r="E21" s="198"/>
      <c r="F21" s="199">
        <v>382988.60191299353</v>
      </c>
      <c r="G21" s="10">
        <f t="shared" si="0"/>
        <v>88284241.798087016</v>
      </c>
      <c r="H21" s="200">
        <v>22.1</v>
      </c>
      <c r="I21" s="200">
        <v>59.8</v>
      </c>
      <c r="J21" s="200">
        <v>31</v>
      </c>
      <c r="K21" s="200">
        <v>0</v>
      </c>
      <c r="L21" s="163">
        <v>204.3</v>
      </c>
      <c r="M21" s="212">
        <v>352</v>
      </c>
      <c r="N21" s="265">
        <f>$W$18+$W$19*H21+$W$20*I21+$W$21*J21+$W$22*K21+$W$23*L21+$W$24*M21</f>
        <v>94406689.725488946</v>
      </c>
      <c r="O21" s="49">
        <f>N21-G21</f>
        <v>6122447.9274019301</v>
      </c>
      <c r="P21" s="110">
        <f>O21/G21</f>
        <v>6.9349272335650219E-2</v>
      </c>
      <c r="Q21" s="13">
        <f t="shared" si="1"/>
        <v>6.9349272335650219E-2</v>
      </c>
      <c r="T21"/>
      <c r="U21"/>
      <c r="V21" s="216" t="s">
        <v>6</v>
      </c>
      <c r="W21" s="30">
        <v>1913322.6841637418</v>
      </c>
      <c r="X21" s="30">
        <v>362153.4351009028</v>
      </c>
      <c r="Y21" s="30">
        <v>5.2831824821174314</v>
      </c>
      <c r="Z21" s="30">
        <v>3.0367149387136464E-7</v>
      </c>
      <c r="AA21" s="30">
        <v>1199606.531059335</v>
      </c>
      <c r="AB21" s="30">
        <v>2627038.8372681485</v>
      </c>
      <c r="AC21" s="30">
        <v>1199606.531059335</v>
      </c>
      <c r="AD21" s="30">
        <v>2627038.8372681485</v>
      </c>
    </row>
    <row r="22" spans="1:30" s="29" customFormat="1">
      <c r="A22" s="50">
        <v>35673</v>
      </c>
      <c r="B22" s="199">
        <v>82986439.5</v>
      </c>
      <c r="C22" s="198"/>
      <c r="D22" s="198"/>
      <c r="E22" s="198"/>
      <c r="F22" s="199">
        <v>358451.03425991553</v>
      </c>
      <c r="G22" s="10">
        <f t="shared" si="0"/>
        <v>82627988.465740085</v>
      </c>
      <c r="H22" s="200">
        <v>49.4</v>
      </c>
      <c r="I22" s="200">
        <v>21.9</v>
      </c>
      <c r="J22" s="200">
        <v>31</v>
      </c>
      <c r="K22" s="200">
        <v>0</v>
      </c>
      <c r="L22" s="163">
        <v>204.5</v>
      </c>
      <c r="M22" s="212">
        <v>320</v>
      </c>
      <c r="N22" s="265">
        <f>$W$18+$W$19*H22+$W$20*I22+$W$21*J22+$W$22*K22+$W$23*L22+$W$24*M22</f>
        <v>86319619.585335344</v>
      </c>
      <c r="O22" s="49">
        <f>N22-G22</f>
        <v>3691631.1195952594</v>
      </c>
      <c r="P22" s="110">
        <f>O22/G22</f>
        <v>4.4677731942196736E-2</v>
      </c>
      <c r="Q22" s="13">
        <f t="shared" si="1"/>
        <v>4.4677731942196736E-2</v>
      </c>
      <c r="T22"/>
      <c r="U22"/>
      <c r="V22" s="215" t="s">
        <v>19</v>
      </c>
      <c r="W22" s="30">
        <v>-1899859.8955038425</v>
      </c>
      <c r="X22" s="30">
        <v>690303.77483298804</v>
      </c>
      <c r="Y22" s="30">
        <v>-2.7522084693271367</v>
      </c>
      <c r="Z22" s="30">
        <v>6.4111444645144041E-3</v>
      </c>
      <c r="AA22" s="30">
        <v>-3260280.3882985073</v>
      </c>
      <c r="AB22" s="30">
        <v>-539439.4027091777</v>
      </c>
      <c r="AC22" s="30">
        <v>-3260280.3882985073</v>
      </c>
      <c r="AD22" s="30">
        <v>-539439.4027091777</v>
      </c>
    </row>
    <row r="23" spans="1:30" s="29" customFormat="1">
      <c r="A23" s="50">
        <v>35703</v>
      </c>
      <c r="B23" s="199">
        <v>82339214.099999994</v>
      </c>
      <c r="C23" s="198"/>
      <c r="D23" s="198"/>
      <c r="E23" s="198"/>
      <c r="F23" s="199">
        <v>355655.4134882919</v>
      </c>
      <c r="G23" s="10">
        <f t="shared" si="0"/>
        <v>81983558.686511695</v>
      </c>
      <c r="H23" s="200">
        <v>115.2</v>
      </c>
      <c r="I23" s="200">
        <v>5.4</v>
      </c>
      <c r="J23" s="200">
        <v>30</v>
      </c>
      <c r="K23" s="200">
        <v>1</v>
      </c>
      <c r="L23" s="163">
        <v>203.2</v>
      </c>
      <c r="M23" s="212">
        <v>336</v>
      </c>
      <c r="N23" s="265">
        <f>$W$18+$W$19*H23+$W$20*I23+$W$21*J23+$W$22*K23+$W$23*L23+$W$24*M23</f>
        <v>81834931.429323435</v>
      </c>
      <c r="O23" s="49">
        <f>N23-G23</f>
        <v>-148627.25718826056</v>
      </c>
      <c r="P23" s="110">
        <f>O23/G23</f>
        <v>-1.8128910182659999E-3</v>
      </c>
      <c r="Q23" s="13">
        <f t="shared" si="1"/>
        <v>1.8128910182659999E-3</v>
      </c>
      <c r="T23"/>
      <c r="U23"/>
      <c r="V23" s="215" t="s">
        <v>157</v>
      </c>
      <c r="W23" s="30">
        <v>440774.74930339743</v>
      </c>
      <c r="X23" s="30">
        <v>9482.8201201921311</v>
      </c>
      <c r="Y23" s="30">
        <v>46.48139938506678</v>
      </c>
      <c r="Z23" s="30">
        <v>4.6041054579424805E-116</v>
      </c>
      <c r="AA23" s="30">
        <v>422086.42208960507</v>
      </c>
      <c r="AB23" s="30">
        <v>459463.07651718979</v>
      </c>
      <c r="AC23" s="30">
        <v>422086.42208960507</v>
      </c>
      <c r="AD23" s="30">
        <v>459463.07651718979</v>
      </c>
    </row>
    <row r="24" spans="1:30" s="29" customFormat="1" ht="13.8" thickBot="1">
      <c r="A24" s="50">
        <v>35734</v>
      </c>
      <c r="B24" s="199">
        <v>87421435.5</v>
      </c>
      <c r="C24" s="198"/>
      <c r="D24" s="198"/>
      <c r="E24" s="198"/>
      <c r="F24" s="199">
        <v>377607.52431680716</v>
      </c>
      <c r="G24" s="10">
        <f t="shared" si="0"/>
        <v>87043827.975683197</v>
      </c>
      <c r="H24" s="200">
        <v>288.89999999999998</v>
      </c>
      <c r="I24" s="200">
        <v>1.6</v>
      </c>
      <c r="J24" s="200">
        <v>31</v>
      </c>
      <c r="K24" s="200">
        <v>1</v>
      </c>
      <c r="L24" s="163">
        <v>203.3</v>
      </c>
      <c r="M24" s="212">
        <v>352</v>
      </c>
      <c r="N24" s="265">
        <f>$W$18+$W$19*H24+$W$20*I24+$W$21*J24+$W$22*K24+$W$23*L24+$W$24*M24</f>
        <v>88984368.936740652</v>
      </c>
      <c r="O24" s="49">
        <f>N24-G24</f>
        <v>1940540.9610574543</v>
      </c>
      <c r="P24" s="110">
        <f>O24/G24</f>
        <v>2.2293837555025373E-2</v>
      </c>
      <c r="Q24" s="13">
        <f t="shared" si="1"/>
        <v>2.2293837555025373E-2</v>
      </c>
      <c r="T24"/>
      <c r="U24"/>
      <c r="V24" s="215" t="s">
        <v>160</v>
      </c>
      <c r="W24" s="31">
        <v>65543.875417679243</v>
      </c>
      <c r="X24" s="31">
        <v>17165.705218822492</v>
      </c>
      <c r="Y24" s="31">
        <v>3.8183036806323143</v>
      </c>
      <c r="Z24" s="31">
        <v>1.7454994655493326E-4</v>
      </c>
      <c r="AA24" s="31">
        <v>31714.454220310938</v>
      </c>
      <c r="AB24" s="31">
        <v>99373.296615047555</v>
      </c>
      <c r="AC24" s="31">
        <v>31714.454220310938</v>
      </c>
      <c r="AD24" s="31">
        <v>99373.296615047555</v>
      </c>
    </row>
    <row r="25" spans="1:30" s="29" customFormat="1">
      <c r="A25" s="50">
        <v>35764</v>
      </c>
      <c r="B25" s="199">
        <v>91084451</v>
      </c>
      <c r="C25" s="198"/>
      <c r="D25" s="198"/>
      <c r="E25" s="198"/>
      <c r="F25" s="199">
        <v>393429.52731387632</v>
      </c>
      <c r="G25" s="10">
        <f t="shared" si="0"/>
        <v>90691021.472686127</v>
      </c>
      <c r="H25" s="200">
        <v>471.4</v>
      </c>
      <c r="I25" s="200">
        <v>0</v>
      </c>
      <c r="J25" s="200">
        <v>30</v>
      </c>
      <c r="K25" s="200">
        <v>1</v>
      </c>
      <c r="L25" s="163">
        <v>201.9</v>
      </c>
      <c r="M25" s="212">
        <v>304</v>
      </c>
      <c r="N25" s="265">
        <f>$W$18+$W$19*H25+$W$20*I25+$W$21*J25+$W$22*K25+$W$23*L25+$W$24*M25</f>
        <v>88092685.056131959</v>
      </c>
      <c r="O25" s="49">
        <f>N25-G25</f>
        <v>-2598336.4165541679</v>
      </c>
      <c r="P25" s="110">
        <f>O25/G25</f>
        <v>-2.8650426187301483E-2</v>
      </c>
      <c r="Q25" s="13">
        <f t="shared" si="1"/>
        <v>2.8650426187301483E-2</v>
      </c>
      <c r="T25"/>
      <c r="U25"/>
      <c r="V25"/>
      <c r="W25"/>
      <c r="X25"/>
      <c r="Y25"/>
      <c r="Z25"/>
      <c r="AA25"/>
      <c r="AB25"/>
      <c r="AC25"/>
      <c r="AD25"/>
    </row>
    <row r="26" spans="1:30" s="29" customFormat="1">
      <c r="A26" s="50">
        <v>35795</v>
      </c>
      <c r="B26" s="199">
        <v>95971206</v>
      </c>
      <c r="C26" s="198"/>
      <c r="D26" s="198"/>
      <c r="E26" s="198"/>
      <c r="F26" s="199">
        <v>414537.3419698457</v>
      </c>
      <c r="G26" s="10">
        <f t="shared" si="0"/>
        <v>95556668.658030152</v>
      </c>
      <c r="H26" s="200">
        <v>630.70000000000005</v>
      </c>
      <c r="I26" s="200">
        <v>0</v>
      </c>
      <c r="J26" s="200">
        <v>31</v>
      </c>
      <c r="K26" s="200">
        <v>0</v>
      </c>
      <c r="L26" s="163">
        <v>200</v>
      </c>
      <c r="M26" s="212">
        <v>336</v>
      </c>
      <c r="N26" s="265">
        <f>$W$18+$W$19*H26+$W$20*I26+$W$21*J26+$W$22*K26+$W$23*L26+$W$24*M26</f>
        <v>97594298.015891626</v>
      </c>
      <c r="O26" s="49">
        <f>N26-G26</f>
        <v>2037629.3578614742</v>
      </c>
      <c r="P26" s="110">
        <f>O26/G26</f>
        <v>2.1323779768354669E-2</v>
      </c>
      <c r="Q26" s="13">
        <f t="shared" si="1"/>
        <v>2.1323779768354669E-2</v>
      </c>
      <c r="V26"/>
      <c r="W26"/>
      <c r="X26"/>
      <c r="Y26"/>
      <c r="Z26"/>
      <c r="AA26"/>
      <c r="AB26"/>
      <c r="AC26"/>
      <c r="AD26"/>
    </row>
    <row r="27" spans="1:30">
      <c r="A27" s="50">
        <v>35826</v>
      </c>
      <c r="B27" s="161">
        <v>99755427.200000003</v>
      </c>
      <c r="F27" s="161">
        <v>369728.33435103059</v>
      </c>
      <c r="G27" s="10">
        <f>+B27-C27+D27-F27</f>
        <v>99385698.86564897</v>
      </c>
      <c r="H27" s="1">
        <v>652.79999999999995</v>
      </c>
      <c r="I27" s="1">
        <v>0</v>
      </c>
      <c r="J27" s="10">
        <v>31</v>
      </c>
      <c r="K27" s="10">
        <v>0</v>
      </c>
      <c r="L27" s="163">
        <v>199.4</v>
      </c>
      <c r="M27" s="212">
        <v>336.28800000000001</v>
      </c>
      <c r="N27" s="265">
        <f>$W$18+$W$19*H27+$W$20*I27+$W$21*J27+$W$22*K27+$W$23*L27+$W$24*M27</f>
        <v>97963084.029849216</v>
      </c>
      <c r="O27" s="49">
        <f>N27-G27</f>
        <v>-1422614.8357997537</v>
      </c>
      <c r="P27" s="110">
        <f>O27/G27</f>
        <v>-1.4314079913276708E-2</v>
      </c>
      <c r="Q27" s="13">
        <f>ABS(P27)</f>
        <v>1.4314079913276708E-2</v>
      </c>
      <c r="R27" s="13"/>
      <c r="S27" s="13"/>
    </row>
    <row r="28" spans="1:30">
      <c r="A28" s="50">
        <f>EOMONTH(A27,1)</f>
        <v>35854</v>
      </c>
      <c r="B28" s="161">
        <v>88298732.200000003</v>
      </c>
      <c r="F28" s="161">
        <v>327265.83503231901</v>
      </c>
      <c r="G28" s="10">
        <f t="shared" ref="G28:G91" si="2">+B28-C28+D28-F28</f>
        <v>87971466.364967689</v>
      </c>
      <c r="H28" s="1">
        <v>547.1</v>
      </c>
      <c r="I28" s="1">
        <v>0</v>
      </c>
      <c r="J28" s="10">
        <v>29</v>
      </c>
      <c r="K28" s="10">
        <v>0</v>
      </c>
      <c r="L28" s="163">
        <v>200</v>
      </c>
      <c r="M28" s="212">
        <v>319.87200000000001</v>
      </c>
      <c r="N28" s="265">
        <f>$W$18+$W$19*H28+$W$20*I28+$W$21*J28+$W$22*K28+$W$23*L28+$W$24*M28</f>
        <v>90386502.861377269</v>
      </c>
      <c r="O28" s="49">
        <f>N28-G28</f>
        <v>2415036.4964095801</v>
      </c>
      <c r="P28" s="110">
        <f>O28/G28</f>
        <v>2.7452497908700368E-2</v>
      </c>
      <c r="Q28" s="13">
        <f t="shared" ref="Q28:Q91" si="3">ABS(P28)</f>
        <v>2.7452497908700368E-2</v>
      </c>
      <c r="R28" s="13"/>
      <c r="S28" s="13"/>
    </row>
    <row r="29" spans="1:30">
      <c r="A29" s="50">
        <f>EOMONTH(A28,1)</f>
        <v>35885</v>
      </c>
      <c r="B29" s="161">
        <v>96142108.799999997</v>
      </c>
      <c r="F29" s="161">
        <v>356336.1186991093</v>
      </c>
      <c r="G29" s="10">
        <f t="shared" si="2"/>
        <v>95785772.681300893</v>
      </c>
      <c r="H29" s="1">
        <v>505.1</v>
      </c>
      <c r="I29" s="1">
        <v>0</v>
      </c>
      <c r="J29" s="10">
        <v>31</v>
      </c>
      <c r="K29" s="10">
        <v>1</v>
      </c>
      <c r="L29" s="163">
        <v>200</v>
      </c>
      <c r="M29" s="212">
        <v>351.91199999999998</v>
      </c>
      <c r="N29" s="265">
        <f>$W$18+$W$19*H29+$W$20*I29+$W$21*J29+$W$22*K29+$W$23*L29+$W$24*M29</f>
        <v>93245725.0730986</v>
      </c>
      <c r="O29" s="49">
        <f>N29-G29</f>
        <v>-2540047.6082022935</v>
      </c>
      <c r="P29" s="110">
        <f>O29/G29</f>
        <v>-2.6518005097203298E-2</v>
      </c>
      <c r="Q29" s="13">
        <f t="shared" si="3"/>
        <v>2.6518005097203298E-2</v>
      </c>
      <c r="R29" s="13"/>
      <c r="S29" s="13"/>
    </row>
    <row r="30" spans="1:30">
      <c r="A30" s="50">
        <f>EOMONTH(A29,1)</f>
        <v>35915</v>
      </c>
      <c r="B30" s="161">
        <v>82977188</v>
      </c>
      <c r="F30" s="161">
        <v>307542.33999583655</v>
      </c>
      <c r="G30" s="10">
        <f t="shared" si="2"/>
        <v>82669645.660004169</v>
      </c>
      <c r="H30" s="1">
        <v>312</v>
      </c>
      <c r="I30" s="1">
        <v>0</v>
      </c>
      <c r="J30" s="10">
        <v>30</v>
      </c>
      <c r="K30" s="10">
        <v>1</v>
      </c>
      <c r="L30" s="163">
        <v>200.8</v>
      </c>
      <c r="M30" s="212">
        <v>336.24</v>
      </c>
      <c r="N30" s="265">
        <f>$W$18+$W$19*H30+$W$20*I30+$W$21*J30+$W$22*K30+$W$23*L30+$W$24*M30</f>
        <v>85289689.011081651</v>
      </c>
      <c r="O30" s="49">
        <f>N30-G30</f>
        <v>2620043.3510774821</v>
      </c>
      <c r="P30" s="110">
        <f>O30/G30</f>
        <v>3.169293070219445E-2</v>
      </c>
      <c r="Q30" s="13">
        <f t="shared" si="3"/>
        <v>3.169293070219445E-2</v>
      </c>
      <c r="R30" s="13"/>
      <c r="S30" s="13"/>
    </row>
    <row r="31" spans="1:30">
      <c r="A31" s="50">
        <f>EOMONTH(A30,1)</f>
        <v>35946</v>
      </c>
      <c r="B31" s="161">
        <v>85056522.800000012</v>
      </c>
      <c r="F31" s="161">
        <v>315249.07850361511</v>
      </c>
      <c r="G31" s="10">
        <f t="shared" si="2"/>
        <v>84741273.721496403</v>
      </c>
      <c r="H31" s="1">
        <v>77.099999999999994</v>
      </c>
      <c r="I31" s="1">
        <v>16.8</v>
      </c>
      <c r="J31" s="10">
        <v>31</v>
      </c>
      <c r="K31" s="10">
        <v>1</v>
      </c>
      <c r="L31" s="163">
        <v>202</v>
      </c>
      <c r="M31" s="212">
        <v>319.92</v>
      </c>
      <c r="N31" s="265">
        <f>$W$18+$W$19*H31+$W$20*I31+$W$21*J31+$W$22*K31+$W$23*L31+$W$24*M31</f>
        <v>83162646.711760551</v>
      </c>
      <c r="O31" s="49">
        <f>N31-G31</f>
        <v>-1578627.0097358525</v>
      </c>
      <c r="P31" s="110">
        <f>O31/G31</f>
        <v>-1.8628785483258564E-2</v>
      </c>
      <c r="Q31" s="13">
        <f t="shared" si="3"/>
        <v>1.8628785483258564E-2</v>
      </c>
      <c r="R31" s="13"/>
      <c r="S31" s="13"/>
    </row>
    <row r="32" spans="1:30">
      <c r="A32" s="50">
        <f t="shared" ref="A32:A95" si="4">EOMONTH(A31,1)</f>
        <v>35976</v>
      </c>
      <c r="B32" s="161">
        <v>90611662</v>
      </c>
      <c r="F32" s="161">
        <v>335838.35791581444</v>
      </c>
      <c r="G32" s="10">
        <f t="shared" si="2"/>
        <v>90275823.642084181</v>
      </c>
      <c r="H32" s="1">
        <v>66.7</v>
      </c>
      <c r="I32" s="1">
        <v>63.7</v>
      </c>
      <c r="J32" s="10">
        <v>30</v>
      </c>
      <c r="K32" s="10">
        <v>0</v>
      </c>
      <c r="L32" s="163">
        <v>205.5</v>
      </c>
      <c r="M32" s="212">
        <v>352.08</v>
      </c>
      <c r="N32" s="265">
        <f>$W$18+$W$19*H32+$W$20*I32+$W$21*J32+$W$22*K32+$W$23*L32+$W$24*M32</f>
        <v>94970926.816940248</v>
      </c>
      <c r="O32" s="49">
        <f>N32-G32</f>
        <v>4695103.1748560667</v>
      </c>
      <c r="P32" s="110">
        <f>O32/G32</f>
        <v>5.2008422470568687E-2</v>
      </c>
      <c r="Q32" s="13">
        <f t="shared" si="3"/>
        <v>5.2008422470568687E-2</v>
      </c>
      <c r="R32" s="13"/>
      <c r="S32" s="13"/>
    </row>
    <row r="33" spans="1:19">
      <c r="A33" s="50">
        <f t="shared" si="4"/>
        <v>36007</v>
      </c>
      <c r="B33" s="161">
        <v>93536613.900000006</v>
      </c>
      <c r="F33" s="161">
        <v>346679.24772400211</v>
      </c>
      <c r="G33" s="10">
        <f t="shared" si="2"/>
        <v>93189934.652276009</v>
      </c>
      <c r="H33" s="1">
        <v>6.9</v>
      </c>
      <c r="I33" s="1">
        <v>64.8</v>
      </c>
      <c r="J33" s="10">
        <v>31</v>
      </c>
      <c r="K33" s="10">
        <v>0</v>
      </c>
      <c r="L33" s="163">
        <v>206.6</v>
      </c>
      <c r="M33" s="212">
        <v>351.91199999999998</v>
      </c>
      <c r="N33" s="265">
        <f>$W$18+$W$19*H33+$W$20*I33+$W$21*J33+$W$22*K33+$W$23*L33+$W$24*M33</f>
        <v>95894094.188977838</v>
      </c>
      <c r="O33" s="49">
        <f>N33-G33</f>
        <v>2704159.5367018282</v>
      </c>
      <c r="P33" s="110">
        <f>O33/G33</f>
        <v>2.9017721139004828E-2</v>
      </c>
      <c r="Q33" s="13">
        <f t="shared" si="3"/>
        <v>2.9017721139004828E-2</v>
      </c>
      <c r="R33" s="13"/>
      <c r="S33" s="13"/>
    </row>
    <row r="34" spans="1:19">
      <c r="A34" s="50">
        <f t="shared" si="4"/>
        <v>36038</v>
      </c>
      <c r="B34" s="161">
        <v>94443253.400000006</v>
      </c>
      <c r="F34" s="161">
        <v>350039.56927843532</v>
      </c>
      <c r="G34" s="10">
        <f t="shared" si="2"/>
        <v>94093213.830721572</v>
      </c>
      <c r="H34" s="1">
        <v>12.1</v>
      </c>
      <c r="I34" s="1">
        <v>83.1</v>
      </c>
      <c r="J34" s="10">
        <v>31</v>
      </c>
      <c r="K34" s="10">
        <v>0</v>
      </c>
      <c r="L34" s="163">
        <v>207.4</v>
      </c>
      <c r="M34" s="212">
        <v>319.92</v>
      </c>
      <c r="N34" s="265">
        <f>$W$18+$W$19*H34+$W$20*I34+$W$21*J34+$W$22*K34+$W$23*L34+$W$24*M34</f>
        <v>97595516.904700696</v>
      </c>
      <c r="O34" s="49">
        <f>N34-G34</f>
        <v>3502303.0739791244</v>
      </c>
      <c r="P34" s="110">
        <f>O34/G34</f>
        <v>3.7221633010430952E-2</v>
      </c>
      <c r="Q34" s="13">
        <f t="shared" si="3"/>
        <v>3.7221633010430952E-2</v>
      </c>
      <c r="R34" s="13"/>
      <c r="S34" s="13"/>
    </row>
    <row r="35" spans="1:19">
      <c r="A35" s="50">
        <f t="shared" si="4"/>
        <v>36068</v>
      </c>
      <c r="B35" s="161">
        <v>87162868.599999994</v>
      </c>
      <c r="F35" s="161">
        <v>323055.92917891633</v>
      </c>
      <c r="G35" s="10">
        <f t="shared" si="2"/>
        <v>86839812.670821071</v>
      </c>
      <c r="H35" s="1">
        <v>63</v>
      </c>
      <c r="I35" s="1">
        <v>26</v>
      </c>
      <c r="J35" s="10">
        <v>30</v>
      </c>
      <c r="K35" s="10">
        <v>1</v>
      </c>
      <c r="L35" s="163">
        <v>205.7</v>
      </c>
      <c r="M35" s="212">
        <v>336.24</v>
      </c>
      <c r="N35" s="265">
        <f>$W$18+$W$19*H35+$W$20*I35+$W$21*J35+$W$22*K35+$W$23*L35+$W$24*M35</f>
        <v>85217471.762551442</v>
      </c>
      <c r="O35" s="49">
        <f>N35-G35</f>
        <v>-1622340.9082696289</v>
      </c>
      <c r="P35" s="110">
        <f>O35/G35</f>
        <v>-1.8681994564167796E-2</v>
      </c>
      <c r="Q35" s="13">
        <f t="shared" si="3"/>
        <v>1.8681994564167796E-2</v>
      </c>
      <c r="R35" s="13"/>
      <c r="S35" s="13"/>
    </row>
    <row r="36" spans="1:19">
      <c r="A36" s="50">
        <f t="shared" si="4"/>
        <v>36099</v>
      </c>
      <c r="B36" s="161">
        <v>87958219</v>
      </c>
      <c r="F36" s="161">
        <v>326003.77459315991</v>
      </c>
      <c r="G36" s="10">
        <f t="shared" si="2"/>
        <v>87632215.22540684</v>
      </c>
      <c r="H36" s="1">
        <v>257.60000000000002</v>
      </c>
      <c r="I36" s="1">
        <v>0</v>
      </c>
      <c r="J36" s="10">
        <v>31</v>
      </c>
      <c r="K36" s="10">
        <v>1</v>
      </c>
      <c r="L36" s="163">
        <v>207</v>
      </c>
      <c r="M36" s="212">
        <v>336.28800000000001</v>
      </c>
      <c r="N36" s="265">
        <f>$W$18+$W$19*H36+$W$20*I36+$W$21*J36+$W$22*K36+$W$23*L36+$W$24*M36</f>
        <v>88426655.456375778</v>
      </c>
      <c r="O36" s="49">
        <f>N36-G36</f>
        <v>794440.23096893728</v>
      </c>
      <c r="P36" s="110">
        <f>O36/G36</f>
        <v>9.065618493444276E-3</v>
      </c>
      <c r="Q36" s="13">
        <f t="shared" si="3"/>
        <v>9.065618493444276E-3</v>
      </c>
      <c r="R36" s="13"/>
      <c r="S36" s="13"/>
    </row>
    <row r="37" spans="1:19">
      <c r="A37" s="50">
        <f t="shared" si="4"/>
        <v>36129</v>
      </c>
      <c r="B37" s="161">
        <v>91550898.200000003</v>
      </c>
      <c r="F37" s="161">
        <v>339319.49418614455</v>
      </c>
      <c r="G37" s="10">
        <f t="shared" si="2"/>
        <v>91211578.705813855</v>
      </c>
      <c r="H37" s="1">
        <v>440.1</v>
      </c>
      <c r="I37" s="1">
        <v>0</v>
      </c>
      <c r="J37" s="10">
        <v>30</v>
      </c>
      <c r="K37" s="10">
        <v>1</v>
      </c>
      <c r="L37" s="163">
        <v>209.3</v>
      </c>
      <c r="M37" s="212">
        <v>336.24</v>
      </c>
      <c r="N37" s="265">
        <f>$W$18+$W$19*H37+$W$20*I37+$W$21*J37+$W$22*K37+$W$23*L37+$W$24*M37</f>
        <v>92597420.920088977</v>
      </c>
      <c r="O37" s="49">
        <f>N37-G37</f>
        <v>1385842.2142751217</v>
      </c>
      <c r="P37" s="110">
        <f>O37/G37</f>
        <v>1.5193709328778317E-2</v>
      </c>
      <c r="Q37" s="13">
        <f t="shared" si="3"/>
        <v>1.5193709328778317E-2</v>
      </c>
      <c r="R37" s="13"/>
      <c r="S37" s="13"/>
    </row>
    <row r="38" spans="1:19">
      <c r="A38" s="50">
        <f t="shared" si="4"/>
        <v>36160</v>
      </c>
      <c r="B38" s="161">
        <v>96499819.900000006</v>
      </c>
      <c r="F38" s="161">
        <v>357661.9205416168</v>
      </c>
      <c r="G38" s="10">
        <f t="shared" si="2"/>
        <v>96142157.979458392</v>
      </c>
      <c r="H38" s="1">
        <v>572.1</v>
      </c>
      <c r="I38" s="1">
        <v>0</v>
      </c>
      <c r="J38" s="10">
        <v>31</v>
      </c>
      <c r="K38" s="10">
        <v>0</v>
      </c>
      <c r="L38" s="163">
        <v>214</v>
      </c>
      <c r="M38" s="212">
        <v>336.28800000000001</v>
      </c>
      <c r="N38" s="265">
        <f>$W$18+$W$19*H38+$W$20*I38+$W$21*J38+$W$22*K38+$W$23*L38+$W$24*M38</f>
        <v>102154956.44874032</v>
      </c>
      <c r="O38" s="49">
        <f>N38-G38</f>
        <v>6012798.4692819268</v>
      </c>
      <c r="P38" s="110">
        <f>O38/G38</f>
        <v>6.2540706342025451E-2</v>
      </c>
      <c r="Q38" s="13">
        <f t="shared" si="3"/>
        <v>6.2540706342025451E-2</v>
      </c>
      <c r="R38" s="13"/>
      <c r="S38" s="13"/>
    </row>
    <row r="39" spans="1:19">
      <c r="A39" s="50">
        <f t="shared" si="4"/>
        <v>36191</v>
      </c>
      <c r="B39" s="161">
        <v>106347680.30000001</v>
      </c>
      <c r="F39" s="161">
        <v>391585.84111321339</v>
      </c>
      <c r="G39" s="10">
        <f t="shared" si="2"/>
        <v>105956094.4588868</v>
      </c>
      <c r="H39" s="1">
        <v>789.6</v>
      </c>
      <c r="I39" s="1">
        <v>0</v>
      </c>
      <c r="J39" s="10">
        <v>31</v>
      </c>
      <c r="K39" s="10">
        <v>0</v>
      </c>
      <c r="L39" s="163">
        <v>215</v>
      </c>
      <c r="M39" s="212">
        <v>319.92</v>
      </c>
      <c r="N39" s="265">
        <f>$W$18+$W$19*H39+$W$20*I39+$W$21*J39+$W$22*K39+$W$23*L39+$W$24*M39</f>
        <v>107569352.23361021</v>
      </c>
      <c r="O39" s="49">
        <f>N39-G39</f>
        <v>1613257.7747234106</v>
      </c>
      <c r="P39" s="110">
        <f>O39/G39</f>
        <v>1.5225719511107391E-2</v>
      </c>
      <c r="Q39" s="13">
        <f t="shared" si="3"/>
        <v>1.5225719511107391E-2</v>
      </c>
      <c r="R39" s="13"/>
      <c r="S39" s="13"/>
    </row>
    <row r="40" spans="1:19">
      <c r="A40" s="50">
        <f t="shared" si="4"/>
        <v>36219</v>
      </c>
      <c r="B40" s="161">
        <v>92242601.200000003</v>
      </c>
      <c r="F40" s="161">
        <v>339649.12516641611</v>
      </c>
      <c r="G40" s="10">
        <f t="shared" si="2"/>
        <v>91902952.074833587</v>
      </c>
      <c r="H40" s="1">
        <v>578.4</v>
      </c>
      <c r="I40" s="1">
        <v>0</v>
      </c>
      <c r="J40" s="10">
        <v>29</v>
      </c>
      <c r="K40" s="10">
        <v>0</v>
      </c>
      <c r="L40" s="163">
        <v>213.6</v>
      </c>
      <c r="M40" s="212">
        <v>319.87200000000001</v>
      </c>
      <c r="N40" s="265">
        <f>$W$18+$W$19*H40+$W$20*I40+$W$21*J40+$W$22*K40+$W$23*L40+$W$24*M40</f>
        <v>97251171.276257545</v>
      </c>
      <c r="O40" s="49">
        <f>N40-G40</f>
        <v>5348219.2014239579</v>
      </c>
      <c r="P40" s="110">
        <f>O40/G40</f>
        <v>5.819420465480888E-2</v>
      </c>
      <c r="Q40" s="13">
        <f t="shared" si="3"/>
        <v>5.819420465480888E-2</v>
      </c>
      <c r="R40" s="13"/>
      <c r="S40" s="13"/>
    </row>
    <row r="41" spans="1:19">
      <c r="A41" s="50">
        <f t="shared" si="4"/>
        <v>36250</v>
      </c>
      <c r="B41" s="161">
        <v>99528298.800000012</v>
      </c>
      <c r="F41" s="161">
        <v>366476.00107705622</v>
      </c>
      <c r="G41" s="10">
        <f t="shared" si="2"/>
        <v>99161822.798922956</v>
      </c>
      <c r="H41" s="1">
        <v>592.5</v>
      </c>
      <c r="I41" s="1">
        <v>0</v>
      </c>
      <c r="J41" s="10">
        <v>31</v>
      </c>
      <c r="K41" s="10">
        <v>1</v>
      </c>
      <c r="L41" s="163">
        <v>211.4</v>
      </c>
      <c r="M41" s="212">
        <v>368.28</v>
      </c>
      <c r="N41" s="265">
        <f>$W$18+$W$19*H41+$W$20*I41+$W$21*J41+$W$22*K41+$W$23*L41+$W$24*M41</f>
        <v>101773076.53887405</v>
      </c>
      <c r="O41" s="49">
        <f>N41-G41</f>
        <v>2611253.739951089</v>
      </c>
      <c r="P41" s="110">
        <f>O41/G41</f>
        <v>2.6333256753923357E-2</v>
      </c>
      <c r="Q41" s="13">
        <f t="shared" si="3"/>
        <v>2.6333256753923357E-2</v>
      </c>
      <c r="R41" s="13"/>
      <c r="S41" s="13"/>
    </row>
    <row r="42" spans="1:19">
      <c r="A42" s="50">
        <f t="shared" si="4"/>
        <v>36280</v>
      </c>
      <c r="B42" s="161">
        <v>85709380.400000006</v>
      </c>
      <c r="F42" s="161">
        <v>315592.96564390004</v>
      </c>
      <c r="G42" s="10">
        <f t="shared" si="2"/>
        <v>85393787.434356108</v>
      </c>
      <c r="H42" s="1">
        <v>332.6</v>
      </c>
      <c r="I42" s="1">
        <v>0</v>
      </c>
      <c r="J42" s="10">
        <v>30</v>
      </c>
      <c r="K42" s="10">
        <v>1</v>
      </c>
      <c r="L42" s="163">
        <v>211.2</v>
      </c>
      <c r="M42" s="212">
        <v>336.24</v>
      </c>
      <c r="N42" s="265">
        <f>$W$18+$W$19*H42+$W$20*I42+$W$21*J42+$W$22*K42+$W$23*L42+$W$24*M42</f>
        <v>90446421.023060411</v>
      </c>
      <c r="O42" s="49">
        <f>N42-G42</f>
        <v>5052633.5887043029</v>
      </c>
      <c r="P42" s="110">
        <f>O42/G42</f>
        <v>5.9168632057552926E-2</v>
      </c>
      <c r="Q42" s="13">
        <f t="shared" si="3"/>
        <v>5.9168632057552926E-2</v>
      </c>
      <c r="R42" s="13"/>
      <c r="S42" s="13"/>
    </row>
    <row r="43" spans="1:19">
      <c r="A43" s="50">
        <f t="shared" si="4"/>
        <v>36311</v>
      </c>
      <c r="B43" s="161">
        <v>85001059.299999997</v>
      </c>
      <c r="F43" s="161">
        <v>312984.83622406406</v>
      </c>
      <c r="G43" s="10">
        <f t="shared" si="2"/>
        <v>84688074.463775933</v>
      </c>
      <c r="H43" s="1">
        <v>126.7</v>
      </c>
      <c r="I43" s="1">
        <v>10.5</v>
      </c>
      <c r="J43" s="10">
        <v>31</v>
      </c>
      <c r="K43" s="10">
        <v>1</v>
      </c>
      <c r="L43" s="163">
        <v>212</v>
      </c>
      <c r="M43" s="212">
        <v>319.92</v>
      </c>
      <c r="N43" s="265">
        <f>$W$18+$W$19*H43+$W$20*I43+$W$21*J43+$W$22*K43+$W$23*L43+$W$24*M43</f>
        <v>87812808.746272266</v>
      </c>
      <c r="O43" s="49">
        <f>N43-G43</f>
        <v>3124734.2824963331</v>
      </c>
      <c r="P43" s="110">
        <f>O43/G43</f>
        <v>3.6896981095406671E-2</v>
      </c>
      <c r="Q43" s="13">
        <f t="shared" si="3"/>
        <v>3.6896981095406671E-2</v>
      </c>
      <c r="R43" s="13"/>
      <c r="S43" s="13"/>
    </row>
    <row r="44" spans="1:19">
      <c r="A44" s="50">
        <f t="shared" si="4"/>
        <v>36341</v>
      </c>
      <c r="B44" s="161">
        <v>96876658</v>
      </c>
      <c r="F44" s="161">
        <v>356712.31850241974</v>
      </c>
      <c r="G44" s="10">
        <f t="shared" si="2"/>
        <v>96519945.681497574</v>
      </c>
      <c r="H44" s="1">
        <v>44.4</v>
      </c>
      <c r="I44" s="1">
        <v>76.5</v>
      </c>
      <c r="J44" s="10">
        <v>30</v>
      </c>
      <c r="K44" s="10">
        <v>0</v>
      </c>
      <c r="L44" s="163">
        <v>215.3</v>
      </c>
      <c r="M44" s="212">
        <v>352.08</v>
      </c>
      <c r="N44" s="265">
        <f>$W$18+$W$19*H44+$W$20*I44+$W$21*J44+$W$22*K44+$W$23*L44+$W$24*M44</f>
        <v>100979568.04790084</v>
      </c>
      <c r="O44" s="49">
        <f>N44-G44</f>
        <v>4459622.3664032668</v>
      </c>
      <c r="P44" s="110">
        <f>O44/G44</f>
        <v>4.620415329614256E-2</v>
      </c>
      <c r="Q44" s="13">
        <f t="shared" si="3"/>
        <v>4.620415329614256E-2</v>
      </c>
      <c r="R44" s="13"/>
      <c r="S44" s="13"/>
    </row>
    <row r="45" spans="1:19">
      <c r="A45" s="50">
        <f t="shared" si="4"/>
        <v>36372</v>
      </c>
      <c r="B45" s="161">
        <v>102363581.69999999</v>
      </c>
      <c r="F45" s="161">
        <v>376915.8774905185</v>
      </c>
      <c r="G45" s="10">
        <f t="shared" si="2"/>
        <v>101986665.82250947</v>
      </c>
      <c r="H45" s="1">
        <v>3.2</v>
      </c>
      <c r="I45" s="1">
        <v>138.9</v>
      </c>
      <c r="J45" s="10">
        <v>31</v>
      </c>
      <c r="K45" s="10">
        <v>0</v>
      </c>
      <c r="L45" s="163">
        <v>219.1</v>
      </c>
      <c r="M45" s="212">
        <v>336.28800000000001</v>
      </c>
      <c r="N45" s="265">
        <f>$W$18+$W$19*H45+$W$20*I45+$W$21*J45+$W$22*K45+$W$23*L45+$W$24*M45</f>
        <v>113643708.11733414</v>
      </c>
      <c r="O45" s="49">
        <f>N45-G45</f>
        <v>11657042.294824675</v>
      </c>
      <c r="P45" s="110">
        <f>O45/G45</f>
        <v>0.11429967045997742</v>
      </c>
      <c r="Q45" s="13">
        <f t="shared" si="3"/>
        <v>0.11429967045997742</v>
      </c>
      <c r="R45" s="13"/>
      <c r="S45" s="13"/>
    </row>
    <row r="46" spans="1:19">
      <c r="A46" s="50">
        <f t="shared" si="4"/>
        <v>36403</v>
      </c>
      <c r="B46" s="161">
        <v>92128741.799999997</v>
      </c>
      <c r="F46" s="161">
        <v>339229.88020694099</v>
      </c>
      <c r="G46" s="10">
        <f t="shared" si="2"/>
        <v>91789511.919793054</v>
      </c>
      <c r="H46" s="1">
        <v>28.8</v>
      </c>
      <c r="I46" s="1">
        <v>30.9</v>
      </c>
      <c r="J46" s="10">
        <v>31</v>
      </c>
      <c r="K46" s="10">
        <v>0</v>
      </c>
      <c r="L46" s="163">
        <v>222.9</v>
      </c>
      <c r="M46" s="212">
        <v>336.28800000000001</v>
      </c>
      <c r="N46" s="265">
        <f>$W$18+$W$19*H46+$W$20*I46+$W$21*J46+$W$22*K46+$W$23*L46+$W$24*M46</f>
        <v>96548282.571620569</v>
      </c>
      <c r="O46" s="49">
        <f>N46-G46</f>
        <v>4758770.6518275142</v>
      </c>
      <c r="P46" s="110">
        <f>O46/G46</f>
        <v>5.1844383440951228E-2</v>
      </c>
      <c r="Q46" s="13">
        <f t="shared" si="3"/>
        <v>5.1844383440951228E-2</v>
      </c>
      <c r="R46" s="13"/>
      <c r="S46" s="13"/>
    </row>
    <row r="47" spans="1:19" ht="12.75" customHeight="1">
      <c r="A47" s="50">
        <f t="shared" si="4"/>
        <v>36433</v>
      </c>
      <c r="B47" s="161">
        <v>90659575.300000012</v>
      </c>
      <c r="F47" s="161">
        <v>333820.22013711196</v>
      </c>
      <c r="G47" s="10">
        <f t="shared" si="2"/>
        <v>90325755.079862893</v>
      </c>
      <c r="H47" s="1">
        <v>88.9</v>
      </c>
      <c r="I47" s="1">
        <v>27.7</v>
      </c>
      <c r="J47" s="10">
        <v>30</v>
      </c>
      <c r="K47" s="10">
        <v>1</v>
      </c>
      <c r="L47" s="163">
        <v>222.6</v>
      </c>
      <c r="M47" s="212">
        <v>336.24</v>
      </c>
      <c r="N47" s="265">
        <f>$W$18+$W$19*H47+$W$20*I47+$W$21*J47+$W$22*K47+$W$23*L47+$W$24*M47</f>
        <v>93693240.047115445</v>
      </c>
      <c r="O47" s="49">
        <f>N47-G47</f>
        <v>3367484.9672525525</v>
      </c>
      <c r="P47" s="110">
        <f>O47/G47</f>
        <v>3.7281559000255676E-2</v>
      </c>
      <c r="Q47" s="13">
        <f t="shared" si="3"/>
        <v>3.7281559000255676E-2</v>
      </c>
      <c r="R47" s="13"/>
      <c r="S47" s="13"/>
    </row>
    <row r="48" spans="1:19" ht="12.75" customHeight="1">
      <c r="A48" s="50">
        <f t="shared" si="4"/>
        <v>36464</v>
      </c>
      <c r="B48" s="161">
        <v>91210638</v>
      </c>
      <c r="F48" s="161">
        <v>335849.30389593856</v>
      </c>
      <c r="G48" s="10">
        <f t="shared" si="2"/>
        <v>90874788.696104065</v>
      </c>
      <c r="H48" s="1">
        <v>319</v>
      </c>
      <c r="I48" s="1">
        <v>0</v>
      </c>
      <c r="J48" s="10">
        <v>31</v>
      </c>
      <c r="K48" s="10">
        <v>1</v>
      </c>
      <c r="L48" s="163">
        <v>220.1</v>
      </c>
      <c r="M48" s="212">
        <v>319.92</v>
      </c>
      <c r="N48" s="265">
        <f>$W$18+$W$19*H48+$W$20*I48+$W$21*J48+$W$22*K48+$W$23*L48+$W$24*M48</f>
        <v>94834886.481565207</v>
      </c>
      <c r="O48" s="49">
        <f>N48-G48</f>
        <v>3960097.7854611427</v>
      </c>
      <c r="P48" s="110">
        <f>O48/G48</f>
        <v>4.3577518498603321E-2</v>
      </c>
      <c r="Q48" s="13">
        <f t="shared" si="3"/>
        <v>4.3577518498603321E-2</v>
      </c>
      <c r="R48" s="13"/>
      <c r="S48" s="13"/>
    </row>
    <row r="49" spans="1:19" ht="12.75" customHeight="1">
      <c r="A49" s="50">
        <f t="shared" si="4"/>
        <v>36494</v>
      </c>
      <c r="B49" s="161">
        <v>95821859.299999997</v>
      </c>
      <c r="F49" s="161">
        <v>352828.4139830221</v>
      </c>
      <c r="G49" s="10">
        <f t="shared" si="2"/>
        <v>95469030.88601698</v>
      </c>
      <c r="H49" s="1">
        <v>405.1</v>
      </c>
      <c r="I49" s="1">
        <v>0</v>
      </c>
      <c r="J49" s="10">
        <v>30</v>
      </c>
      <c r="K49" s="10">
        <v>1</v>
      </c>
      <c r="L49" s="163">
        <v>216.5</v>
      </c>
      <c r="M49" s="212">
        <v>352.08</v>
      </c>
      <c r="N49" s="265">
        <f>$W$18+$W$19*H49+$W$20*I49+$W$21*J49+$W$22*K49+$W$23*L49+$W$24*M49</f>
        <v>95836223.243785501</v>
      </c>
      <c r="O49" s="49">
        <f>N49-G49</f>
        <v>367192.35776852071</v>
      </c>
      <c r="P49" s="110">
        <f>O49/G49</f>
        <v>3.8461934133061583E-3</v>
      </c>
      <c r="Q49" s="13">
        <f t="shared" si="3"/>
        <v>3.8461934133061583E-3</v>
      </c>
      <c r="R49" s="13"/>
      <c r="S49" s="13"/>
    </row>
    <row r="50" spans="1:19">
      <c r="A50" s="50">
        <f t="shared" si="4"/>
        <v>36525</v>
      </c>
      <c r="B50" s="161">
        <v>102947032</v>
      </c>
      <c r="F50" s="161">
        <v>379064.21655939863</v>
      </c>
      <c r="G50" s="10">
        <f t="shared" si="2"/>
        <v>102567967.7834406</v>
      </c>
      <c r="H50" s="1">
        <v>623.70000000000005</v>
      </c>
      <c r="I50" s="1">
        <v>0</v>
      </c>
      <c r="J50" s="10">
        <v>31</v>
      </c>
      <c r="K50" s="10">
        <v>0</v>
      </c>
      <c r="L50" s="163">
        <v>214.5</v>
      </c>
      <c r="M50" s="212">
        <v>336.28800000000001</v>
      </c>
      <c r="N50" s="265">
        <f>$W$18+$W$19*H50+$W$20*I50+$W$21*J50+$W$22*K50+$W$23*L50+$W$24*M50</f>
        <v>103809810.3453304</v>
      </c>
      <c r="O50" s="49">
        <f>N50-G50</f>
        <v>1241842.5618897974</v>
      </c>
      <c r="P50" s="110">
        <f>O50/G50</f>
        <v>1.2107508696202231E-2</v>
      </c>
      <c r="Q50" s="13">
        <f t="shared" si="3"/>
        <v>1.2107508696202231E-2</v>
      </c>
      <c r="R50" s="13"/>
      <c r="S50" s="13"/>
    </row>
    <row r="51" spans="1:19">
      <c r="A51" s="50">
        <f t="shared" si="4"/>
        <v>36556</v>
      </c>
      <c r="B51" s="161">
        <v>108597914.09999999</v>
      </c>
      <c r="F51" s="161">
        <v>359435.44718494586</v>
      </c>
      <c r="G51" s="10">
        <f t="shared" si="2"/>
        <v>108238478.65281504</v>
      </c>
      <c r="H51" s="1">
        <v>773</v>
      </c>
      <c r="I51" s="1">
        <v>0</v>
      </c>
      <c r="J51" s="10">
        <v>31</v>
      </c>
      <c r="K51" s="10">
        <v>0</v>
      </c>
      <c r="L51" s="163">
        <v>212.9</v>
      </c>
      <c r="M51" s="212">
        <v>319.92</v>
      </c>
      <c r="N51" s="265">
        <f>$W$18+$W$19*H51+$W$20*I51+$W$21*J51+$W$22*K51+$W$23*L51+$W$24*M51</f>
        <v>106182249.59603864</v>
      </c>
      <c r="O51" s="49">
        <f>N51-G51</f>
        <v>-2056229.0567764044</v>
      </c>
      <c r="P51" s="110">
        <f>O51/G51</f>
        <v>-1.8997209517069708E-2</v>
      </c>
      <c r="Q51" s="13">
        <f t="shared" si="3"/>
        <v>1.8997209517069708E-2</v>
      </c>
      <c r="R51" s="13"/>
      <c r="S51" s="13"/>
    </row>
    <row r="52" spans="1:19">
      <c r="A52" s="50">
        <f t="shared" si="4"/>
        <v>36585</v>
      </c>
      <c r="B52" s="161">
        <v>99596964</v>
      </c>
      <c r="F52" s="161">
        <v>329644.26241777104</v>
      </c>
      <c r="G52" s="10">
        <f t="shared" si="2"/>
        <v>99267319.737582222</v>
      </c>
      <c r="H52" s="1">
        <v>643.79999999999995</v>
      </c>
      <c r="I52" s="1">
        <v>0</v>
      </c>
      <c r="J52" s="10">
        <v>28</v>
      </c>
      <c r="K52" s="10">
        <v>0</v>
      </c>
      <c r="L52" s="163">
        <v>212.8</v>
      </c>
      <c r="M52" s="212">
        <v>336.16799999999995</v>
      </c>
      <c r="N52" s="265">
        <f>$W$18+$W$19*H52+$W$20*I52+$W$21*J52+$W$22*K52+$W$23*L52+$W$24*M52</f>
        <v>97871434.703798115</v>
      </c>
      <c r="O52" s="49">
        <f>N52-G52</f>
        <v>-1395885.0337841064</v>
      </c>
      <c r="P52" s="110">
        <f>O52/G52</f>
        <v>-1.4061878949428607E-2</v>
      </c>
      <c r="Q52" s="13">
        <f t="shared" si="3"/>
        <v>1.4061878949428607E-2</v>
      </c>
      <c r="R52" s="13"/>
      <c r="S52" s="13"/>
    </row>
    <row r="53" spans="1:19">
      <c r="A53" s="50">
        <f t="shared" si="4"/>
        <v>36616</v>
      </c>
      <c r="B53" s="161">
        <v>99214146.400000006</v>
      </c>
      <c r="F53" s="161">
        <v>328377.21952485177</v>
      </c>
      <c r="G53" s="10">
        <f t="shared" si="2"/>
        <v>98885769.18047516</v>
      </c>
      <c r="H53" s="1">
        <v>446.9</v>
      </c>
      <c r="I53" s="1">
        <v>0</v>
      </c>
      <c r="J53" s="10">
        <v>31</v>
      </c>
      <c r="K53" s="10">
        <v>1</v>
      </c>
      <c r="L53" s="163">
        <v>214</v>
      </c>
      <c r="M53" s="212">
        <v>368.28</v>
      </c>
      <c r="N53" s="265">
        <f>$W$18+$W$19*H53+$W$20*I53+$W$21*J53+$W$22*K53+$W$23*L53+$W$24*M53</f>
        <v>98871448.918182448</v>
      </c>
      <c r="O53" s="49">
        <f>N53-G53</f>
        <v>-14320.262292712927</v>
      </c>
      <c r="P53" s="110">
        <f>O53/G53</f>
        <v>-1.4481620976803243E-4</v>
      </c>
      <c r="Q53" s="13">
        <f t="shared" si="3"/>
        <v>1.4481620976803243E-4</v>
      </c>
      <c r="R53" s="13"/>
      <c r="S53" s="13"/>
    </row>
    <row r="54" spans="1:19">
      <c r="A54" s="50">
        <f t="shared" si="4"/>
        <v>36646</v>
      </c>
      <c r="B54" s="161">
        <v>89981304.599999994</v>
      </c>
      <c r="F54" s="161">
        <v>297818.52372784965</v>
      </c>
      <c r="G54" s="10">
        <f t="shared" si="2"/>
        <v>89683486.076272145</v>
      </c>
      <c r="H54" s="1">
        <v>358.3</v>
      </c>
      <c r="I54" s="1">
        <v>0</v>
      </c>
      <c r="J54" s="10">
        <v>30</v>
      </c>
      <c r="K54" s="10">
        <v>1</v>
      </c>
      <c r="L54" s="163">
        <v>215.6</v>
      </c>
      <c r="M54" s="212">
        <v>303.83999999999997</v>
      </c>
      <c r="N54" s="265">
        <f>$W$18+$W$19*H54+$W$20*I54+$W$21*J54+$W$22*K54+$W$23*L54+$W$24*M54</f>
        <v>90976661.643552035</v>
      </c>
      <c r="O54" s="49">
        <f>N54-G54</f>
        <v>1293175.5672798902</v>
      </c>
      <c r="P54" s="110">
        <f>O54/G54</f>
        <v>1.4419327613782732E-2</v>
      </c>
      <c r="Q54" s="13">
        <f t="shared" si="3"/>
        <v>1.4419327613782732E-2</v>
      </c>
      <c r="R54" s="13"/>
      <c r="S54" s="13"/>
    </row>
    <row r="55" spans="1:19">
      <c r="A55" s="50">
        <f t="shared" si="4"/>
        <v>36677</v>
      </c>
      <c r="B55" s="161">
        <v>91415320.599999994</v>
      </c>
      <c r="F55" s="161">
        <v>302564.80441382807</v>
      </c>
      <c r="G55" s="10">
        <f t="shared" si="2"/>
        <v>91112755.795586169</v>
      </c>
      <c r="H55" s="1">
        <v>152.4</v>
      </c>
      <c r="I55" s="1">
        <v>18.7</v>
      </c>
      <c r="J55" s="10">
        <v>31</v>
      </c>
      <c r="K55" s="10">
        <v>1</v>
      </c>
      <c r="L55" s="163">
        <v>220.6</v>
      </c>
      <c r="M55" s="212">
        <v>351.91199999999998</v>
      </c>
      <c r="N55" s="265">
        <f>$W$18+$W$19*H55+$W$20*I55+$W$21*J55+$W$22*K55+$W$23*L55+$W$24*M55</f>
        <v>95893996.68632099</v>
      </c>
      <c r="O55" s="49">
        <f>N55-G55</f>
        <v>4781240.8907348216</v>
      </c>
      <c r="P55" s="110">
        <f>O55/G55</f>
        <v>5.2476086898981075E-2</v>
      </c>
      <c r="Q55" s="13">
        <f t="shared" si="3"/>
        <v>5.2476086898981075E-2</v>
      </c>
      <c r="R55" s="13"/>
      <c r="S55" s="13"/>
    </row>
    <row r="56" spans="1:19">
      <c r="A56" s="50">
        <f t="shared" si="4"/>
        <v>36707</v>
      </c>
      <c r="B56" s="161">
        <v>95569834.700000003</v>
      </c>
      <c r="F56" s="161">
        <v>316315.34139002272</v>
      </c>
      <c r="G56" s="10">
        <f t="shared" si="2"/>
        <v>95253519.358609974</v>
      </c>
      <c r="H56" s="1">
        <v>41.1</v>
      </c>
      <c r="I56" s="1">
        <v>35.4</v>
      </c>
      <c r="J56" s="10">
        <v>30</v>
      </c>
      <c r="K56" s="10">
        <v>0</v>
      </c>
      <c r="L56" s="163">
        <v>223</v>
      </c>
      <c r="M56" s="212">
        <v>352.08</v>
      </c>
      <c r="N56" s="265">
        <f>$W$18+$W$19*H56+$W$20*I56+$W$21*J56+$W$22*K56+$W$23*L56+$W$24*M56</f>
        <v>96867794.817950919</v>
      </c>
      <c r="O56" s="49">
        <f>N56-G56</f>
        <v>1614275.4593409449</v>
      </c>
      <c r="P56" s="110">
        <f>O56/G56</f>
        <v>1.6947147677174305E-2</v>
      </c>
      <c r="Q56" s="13">
        <f t="shared" si="3"/>
        <v>1.6947147677174305E-2</v>
      </c>
      <c r="R56" s="13"/>
      <c r="S56" s="13"/>
    </row>
    <row r="57" spans="1:19">
      <c r="A57" s="50">
        <f t="shared" si="4"/>
        <v>36738</v>
      </c>
      <c r="B57" s="161">
        <v>95254772.599999994</v>
      </c>
      <c r="F57" s="161">
        <v>315272.55444753828</v>
      </c>
      <c r="G57" s="10">
        <f t="shared" si="2"/>
        <v>94939500.045552462</v>
      </c>
      <c r="H57" s="1">
        <v>18.600000000000001</v>
      </c>
      <c r="I57" s="1">
        <v>44.8</v>
      </c>
      <c r="J57" s="10">
        <v>31</v>
      </c>
      <c r="K57" s="10">
        <v>0</v>
      </c>
      <c r="L57" s="163">
        <v>224.4</v>
      </c>
      <c r="M57" s="212">
        <v>319.92</v>
      </c>
      <c r="N57" s="265">
        <f>$W$18+$W$19*H57+$W$20*I57+$W$21*J57+$W$22*K57+$W$23*L57+$W$24*M57</f>
        <v>98360476.284759283</v>
      </c>
      <c r="O57" s="49">
        <f>N57-G57</f>
        <v>3420976.2392068207</v>
      </c>
      <c r="P57" s="110">
        <f>O57/G57</f>
        <v>3.6033223658913503E-2</v>
      </c>
      <c r="Q57" s="13">
        <f t="shared" si="3"/>
        <v>3.6033223658913503E-2</v>
      </c>
      <c r="R57" s="13"/>
      <c r="S57" s="13"/>
    </row>
    <row r="58" spans="1:19">
      <c r="A58" s="50">
        <f t="shared" si="4"/>
        <v>36769</v>
      </c>
      <c r="B58" s="161">
        <v>97935080.400000006</v>
      </c>
      <c r="F58" s="161">
        <v>324143.7895966699</v>
      </c>
      <c r="G58" s="10">
        <f t="shared" si="2"/>
        <v>97610936.610403329</v>
      </c>
      <c r="H58" s="1">
        <v>29.7</v>
      </c>
      <c r="I58" s="1">
        <v>46.3</v>
      </c>
      <c r="J58" s="10">
        <v>31</v>
      </c>
      <c r="K58" s="10">
        <v>0</v>
      </c>
      <c r="L58" s="163">
        <v>223.6</v>
      </c>
      <c r="M58" s="212">
        <v>351.91199999999998</v>
      </c>
      <c r="N58" s="265">
        <f>$W$18+$W$19*H58+$W$20*I58+$W$21*J58+$W$22*K58+$W$23*L58+$W$24*M58</f>
        <v>100683897.17758235</v>
      </c>
      <c r="O58" s="49">
        <f>N58-G58</f>
        <v>3072960.5671790242</v>
      </c>
      <c r="P58" s="110">
        <f>O58/G58</f>
        <v>3.1481724014637814E-2</v>
      </c>
      <c r="Q58" s="13">
        <f t="shared" si="3"/>
        <v>3.1481724014637814E-2</v>
      </c>
      <c r="R58" s="13"/>
      <c r="S58" s="13"/>
    </row>
    <row r="59" spans="1:19">
      <c r="A59" s="50">
        <f t="shared" si="4"/>
        <v>36799</v>
      </c>
      <c r="B59" s="161">
        <v>93176991.199999988</v>
      </c>
      <c r="F59" s="161">
        <v>308395.55047512433</v>
      </c>
      <c r="G59" s="10">
        <f t="shared" si="2"/>
        <v>92868595.649524868</v>
      </c>
      <c r="H59" s="1">
        <v>134</v>
      </c>
      <c r="I59" s="1">
        <v>23.8</v>
      </c>
      <c r="J59" s="10">
        <v>30</v>
      </c>
      <c r="K59" s="10">
        <v>1</v>
      </c>
      <c r="L59" s="163">
        <v>222.4</v>
      </c>
      <c r="M59" s="212">
        <v>319.68</v>
      </c>
      <c r="N59" s="265">
        <f>$W$18+$W$19*H59+$W$20*I59+$W$21*J59+$W$22*K59+$W$23*L59+$W$24*M59</f>
        <v>93069928.524034277</v>
      </c>
      <c r="O59" s="49">
        <f>N59-G59</f>
        <v>201332.87450940907</v>
      </c>
      <c r="P59" s="110">
        <f>O59/G59</f>
        <v>2.1679327990402225E-3</v>
      </c>
      <c r="Q59" s="13">
        <f t="shared" si="3"/>
        <v>2.1679327990402225E-3</v>
      </c>
      <c r="R59" s="13"/>
      <c r="S59" s="13"/>
    </row>
    <row r="60" spans="1:19">
      <c r="A60" s="50">
        <f t="shared" si="4"/>
        <v>36830</v>
      </c>
      <c r="B60" s="161">
        <v>94348312.700000003</v>
      </c>
      <c r="F60" s="161">
        <v>312272.36957095115</v>
      </c>
      <c r="G60" s="10">
        <f t="shared" si="2"/>
        <v>94036040.330429047</v>
      </c>
      <c r="H60" s="1">
        <v>251.6</v>
      </c>
      <c r="I60" s="1">
        <v>0</v>
      </c>
      <c r="J60" s="10">
        <v>31</v>
      </c>
      <c r="K60" s="10">
        <v>1</v>
      </c>
      <c r="L60" s="163">
        <v>222.1</v>
      </c>
      <c r="M60" s="212">
        <v>336.28800000000001</v>
      </c>
      <c r="N60" s="265">
        <f>$W$18+$W$19*H60+$W$20*I60+$W$21*J60+$W$22*K60+$W$23*L60+$W$24*M60</f>
        <v>94915555.738073528</v>
      </c>
      <c r="O60" s="49">
        <f>N60-G60</f>
        <v>879515.40764448047</v>
      </c>
      <c r="P60" s="110">
        <f>O60/G60</f>
        <v>9.3529608919515374E-3</v>
      </c>
      <c r="Q60" s="13">
        <f t="shared" si="3"/>
        <v>9.3529608919515374E-3</v>
      </c>
      <c r="R60" s="13"/>
      <c r="S60" s="13"/>
    </row>
    <row r="61" spans="1:19">
      <c r="A61" s="50">
        <f t="shared" si="4"/>
        <v>36860</v>
      </c>
      <c r="B61" s="161">
        <v>100873405</v>
      </c>
      <c r="F61" s="161">
        <v>333869.00416757778</v>
      </c>
      <c r="G61" s="10">
        <f t="shared" si="2"/>
        <v>100539535.99583243</v>
      </c>
      <c r="H61" s="1">
        <v>470.9</v>
      </c>
      <c r="I61" s="1">
        <v>0</v>
      </c>
      <c r="J61" s="10">
        <v>30</v>
      </c>
      <c r="K61" s="10">
        <v>1</v>
      </c>
      <c r="L61" s="163">
        <v>221.7</v>
      </c>
      <c r="M61" s="212">
        <v>352.08</v>
      </c>
      <c r="N61" s="265">
        <f>$W$18+$W$19*H61+$W$20*I61+$W$21*J61+$W$22*K61+$W$23*L61+$W$24*M61</f>
        <v>99957474.753022611</v>
      </c>
      <c r="O61" s="49">
        <f>N61-G61</f>
        <v>-582061.24280981719</v>
      </c>
      <c r="P61" s="110">
        <f>O61/G61</f>
        <v>-5.7893766570988039E-3</v>
      </c>
      <c r="Q61" s="13">
        <f t="shared" si="3"/>
        <v>5.7893766570988039E-3</v>
      </c>
      <c r="R61" s="13"/>
      <c r="S61" s="13"/>
    </row>
    <row r="62" spans="1:19">
      <c r="A62" s="50">
        <f t="shared" si="4"/>
        <v>36891</v>
      </c>
      <c r="B62" s="161">
        <v>111445740.7</v>
      </c>
      <c r="F62" s="161">
        <v>368861.13308286859</v>
      </c>
      <c r="G62" s="10">
        <f t="shared" si="2"/>
        <v>111076879.56691714</v>
      </c>
      <c r="H62" s="1">
        <v>826.5</v>
      </c>
      <c r="I62" s="1">
        <v>0</v>
      </c>
      <c r="J62" s="10">
        <v>31</v>
      </c>
      <c r="K62" s="10">
        <v>0</v>
      </c>
      <c r="L62" s="163">
        <v>222.5</v>
      </c>
      <c r="M62" s="212">
        <v>304.29599999999999</v>
      </c>
      <c r="N62" s="265">
        <f>$W$18+$W$19*H62+$W$20*I62+$W$21*J62+$W$22*K62+$W$23*L62+$W$24*M62</f>
        <v>110876915.70547862</v>
      </c>
      <c r="O62" s="49">
        <f>N62-G62</f>
        <v>-199963.8614385128</v>
      </c>
      <c r="P62" s="110">
        <f>O62/G62</f>
        <v>-1.8002293746291875E-3</v>
      </c>
      <c r="Q62" s="13">
        <f t="shared" si="3"/>
        <v>1.8002293746291875E-3</v>
      </c>
      <c r="R62" s="13"/>
      <c r="S62" s="13"/>
    </row>
    <row r="63" spans="1:19">
      <c r="A63" s="50">
        <f t="shared" si="4"/>
        <v>36922</v>
      </c>
      <c r="B63" s="161">
        <v>112581869.30000001</v>
      </c>
      <c r="F63" s="161">
        <v>441336.55231777485</v>
      </c>
      <c r="G63" s="10">
        <f t="shared" si="2"/>
        <v>112140532.74768224</v>
      </c>
      <c r="H63" s="1">
        <v>715</v>
      </c>
      <c r="I63" s="1">
        <v>0</v>
      </c>
      <c r="J63" s="10">
        <v>31</v>
      </c>
      <c r="K63" s="10">
        <v>0</v>
      </c>
      <c r="L63" s="163">
        <v>222.4</v>
      </c>
      <c r="M63" s="212">
        <v>351.91199999999998</v>
      </c>
      <c r="N63" s="265">
        <f>$W$18+$W$19*H63+$W$20*I63+$W$21*J63+$W$22*K63+$W$23*L63+$W$24*M63</f>
        <v>110854104.52654251</v>
      </c>
      <c r="O63" s="49">
        <f>N63-G63</f>
        <v>-1286428.221139729</v>
      </c>
      <c r="P63" s="110">
        <f>O63/G63</f>
        <v>-1.1471572228341472E-2</v>
      </c>
      <c r="Q63" s="13">
        <f t="shared" si="3"/>
        <v>1.1471572228341472E-2</v>
      </c>
      <c r="R63" s="13"/>
      <c r="S63" s="13"/>
    </row>
    <row r="64" spans="1:19">
      <c r="A64" s="50">
        <f t="shared" si="4"/>
        <v>36950</v>
      </c>
      <c r="B64" s="161">
        <v>99788048.099999994</v>
      </c>
      <c r="C64" s="174">
        <v>104864.3489570705</v>
      </c>
      <c r="F64" s="161">
        <v>390771.91482327355</v>
      </c>
      <c r="G64" s="10">
        <f t="shared" si="2"/>
        <v>99292411.836219639</v>
      </c>
      <c r="H64" s="1">
        <v>620.20000000000005</v>
      </c>
      <c r="I64" s="1">
        <v>0</v>
      </c>
      <c r="J64" s="10">
        <v>28</v>
      </c>
      <c r="K64" s="10">
        <v>0</v>
      </c>
      <c r="L64" s="163">
        <v>222.1</v>
      </c>
      <c r="M64" s="212">
        <v>319.87200000000001</v>
      </c>
      <c r="N64" s="265">
        <f>$W$18+$W$19*H64+$W$20*I64+$W$21*J64+$W$22*K64+$W$23*L64+$W$24*M64</f>
        <v>100246463.04289797</v>
      </c>
      <c r="O64" s="49">
        <f>N64-G64</f>
        <v>954051.2066783309</v>
      </c>
      <c r="P64" s="110">
        <f>O64/G64</f>
        <v>9.6085006803139656E-3</v>
      </c>
      <c r="Q64" s="13">
        <f t="shared" si="3"/>
        <v>9.6085006803139656E-3</v>
      </c>
      <c r="R64" s="13"/>
      <c r="S64" s="13"/>
    </row>
    <row r="65" spans="1:19">
      <c r="A65" s="50">
        <f t="shared" si="4"/>
        <v>36981</v>
      </c>
      <c r="B65" s="161">
        <v>106623824</v>
      </c>
      <c r="C65" s="174">
        <v>36279.649847321947</v>
      </c>
      <c r="F65" s="161">
        <v>417837.9665926749</v>
      </c>
      <c r="G65" s="10">
        <f t="shared" si="2"/>
        <v>106169706.38356</v>
      </c>
      <c r="H65" s="1">
        <v>618.70000000000005</v>
      </c>
      <c r="I65" s="1">
        <v>0</v>
      </c>
      <c r="J65" s="10">
        <v>31</v>
      </c>
      <c r="K65" s="10">
        <v>1</v>
      </c>
      <c r="L65" s="163">
        <v>221.5</v>
      </c>
      <c r="M65" s="212">
        <v>351.91199999999998</v>
      </c>
      <c r="N65" s="265">
        <f>$W$18+$W$19*H65+$W$20*I65+$W$21*J65+$W$22*K65+$W$23*L65+$W$24*M65</f>
        <v>105880432.51048987</v>
      </c>
      <c r="O65" s="49">
        <f>N65-G65</f>
        <v>-289273.87307013571</v>
      </c>
      <c r="P65" s="110">
        <f>O65/G65</f>
        <v>-2.7246366494136668E-3</v>
      </c>
      <c r="Q65" s="13">
        <f t="shared" si="3"/>
        <v>2.7246366494136668E-3</v>
      </c>
      <c r="R65" s="13"/>
      <c r="S65" s="13"/>
    </row>
    <row r="66" spans="1:19">
      <c r="A66" s="50">
        <f t="shared" si="4"/>
        <v>37011</v>
      </c>
      <c r="B66" s="161">
        <v>91412386.099999994</v>
      </c>
      <c r="C66" s="174">
        <v>30915.954855495511</v>
      </c>
      <c r="F66" s="161">
        <v>358228.04533578426</v>
      </c>
      <c r="G66" s="10">
        <f t="shared" si="2"/>
        <v>91023242.099808708</v>
      </c>
      <c r="H66" s="1">
        <v>324.60000000000002</v>
      </c>
      <c r="I66" s="1">
        <v>0</v>
      </c>
      <c r="J66" s="10">
        <v>30</v>
      </c>
      <c r="K66" s="10">
        <v>1</v>
      </c>
      <c r="L66" s="163">
        <v>223.7</v>
      </c>
      <c r="M66" s="212">
        <v>319.68</v>
      </c>
      <c r="N66" s="265">
        <f>$W$18+$W$19*H66+$W$20*I66+$W$21*J66+$W$22*K66+$W$23*L66+$W$24*M66</f>
        <v>94648300.90205808</v>
      </c>
      <c r="O66" s="49">
        <f>N66-G66</f>
        <v>3625058.802249372</v>
      </c>
      <c r="P66" s="110">
        <f>O66/G66</f>
        <v>3.9825639239200315E-2</v>
      </c>
      <c r="Q66" s="13">
        <f t="shared" si="3"/>
        <v>3.9825639239200315E-2</v>
      </c>
      <c r="R66" s="13"/>
      <c r="S66" s="13"/>
    </row>
    <row r="67" spans="1:19">
      <c r="A67" s="50">
        <f t="shared" si="4"/>
        <v>37042</v>
      </c>
      <c r="B67" s="161">
        <v>91851847.599999994</v>
      </c>
      <c r="C67" s="174">
        <v>77019.720066886686</v>
      </c>
      <c r="F67" s="161">
        <v>359770.06224826357</v>
      </c>
      <c r="G67" s="10">
        <f t="shared" si="2"/>
        <v>91415057.817684844</v>
      </c>
      <c r="H67" s="1">
        <v>140.30000000000001</v>
      </c>
      <c r="I67" s="1">
        <v>7.7</v>
      </c>
      <c r="J67" s="10">
        <v>31</v>
      </c>
      <c r="K67" s="10">
        <v>1</v>
      </c>
      <c r="L67" s="163">
        <v>223.9</v>
      </c>
      <c r="M67" s="212">
        <v>351.91199999999998</v>
      </c>
      <c r="N67" s="265">
        <f>$W$18+$W$19*H67+$W$20*I67+$W$21*J67+$W$22*K67+$W$23*L67+$W$24*M67</f>
        <v>95027894.371713951</v>
      </c>
      <c r="O67" s="49">
        <f>N67-G67</f>
        <v>3612836.5540291071</v>
      </c>
      <c r="P67" s="110">
        <f>O67/G67</f>
        <v>3.9521241251462405E-2</v>
      </c>
      <c r="Q67" s="13">
        <f t="shared" si="3"/>
        <v>3.9521241251462405E-2</v>
      </c>
      <c r="R67" s="13"/>
      <c r="S67" s="13"/>
    </row>
    <row r="68" spans="1:19">
      <c r="A68" s="50">
        <f t="shared" si="4"/>
        <v>37072</v>
      </c>
      <c r="B68" s="161">
        <v>100764701.3</v>
      </c>
      <c r="C68" s="174">
        <v>366213.8910607103</v>
      </c>
      <c r="F68" s="161">
        <v>393576.00443556311</v>
      </c>
      <c r="G68" s="10">
        <f t="shared" si="2"/>
        <v>100004911.40450372</v>
      </c>
      <c r="H68" s="1">
        <v>47</v>
      </c>
      <c r="I68" s="1">
        <v>62.4</v>
      </c>
      <c r="J68" s="10">
        <v>30</v>
      </c>
      <c r="K68" s="10">
        <v>0</v>
      </c>
      <c r="L68" s="163">
        <v>224.4</v>
      </c>
      <c r="M68" s="212">
        <v>336.24</v>
      </c>
      <c r="N68" s="265">
        <f>$W$18+$W$19*H68+$W$20*I68+$W$21*J68+$W$22*K68+$W$23*L68+$W$24*M68</f>
        <v>101481193.66583249</v>
      </c>
      <c r="O68" s="49">
        <f>N68-G68</f>
        <v>1476282.2613287717</v>
      </c>
      <c r="P68" s="110">
        <f>O68/G68</f>
        <v>1.4762097586961988E-2</v>
      </c>
      <c r="Q68" s="13">
        <f t="shared" si="3"/>
        <v>1.4762097586961988E-2</v>
      </c>
      <c r="R68" s="13"/>
      <c r="S68" s="13"/>
    </row>
    <row r="69" spans="1:19">
      <c r="A69" s="50">
        <f t="shared" si="4"/>
        <v>37103</v>
      </c>
      <c r="B69" s="161">
        <v>101480959.69999999</v>
      </c>
      <c r="C69" s="174">
        <v>460997.94065508654</v>
      </c>
      <c r="F69" s="161">
        <v>396012.27014039934</v>
      </c>
      <c r="G69" s="10">
        <f t="shared" si="2"/>
        <v>100623949.48920451</v>
      </c>
      <c r="H69" s="1">
        <v>22.3</v>
      </c>
      <c r="I69" s="1">
        <v>65.7</v>
      </c>
      <c r="J69" s="10">
        <v>31</v>
      </c>
      <c r="K69" s="10">
        <v>0</v>
      </c>
      <c r="L69" s="163">
        <v>223.9</v>
      </c>
      <c r="M69" s="212">
        <v>336.28800000000001</v>
      </c>
      <c r="N69" s="265">
        <f>$W$18+$W$19*H69+$W$20*I69+$W$21*J69+$W$22*K69+$W$23*L69+$W$24*M69</f>
        <v>103085906.17743079</v>
      </c>
      <c r="O69" s="49">
        <f>N69-G69</f>
        <v>2461956.6882262826</v>
      </c>
      <c r="P69" s="110">
        <f>O69/G69</f>
        <v>2.4466905748818921E-2</v>
      </c>
      <c r="Q69" s="13">
        <f t="shared" si="3"/>
        <v>2.4466905748818921E-2</v>
      </c>
      <c r="R69" s="13"/>
      <c r="S69" s="13"/>
    </row>
    <row r="70" spans="1:19">
      <c r="A70" s="50">
        <f t="shared" si="4"/>
        <v>37134</v>
      </c>
      <c r="B70" s="161">
        <v>108715738.19999999</v>
      </c>
      <c r="C70" s="174">
        <v>470718.80106965598</v>
      </c>
      <c r="F70" s="161">
        <v>424335.49881636724</v>
      </c>
      <c r="G70" s="10">
        <f t="shared" si="2"/>
        <v>107820683.90011396</v>
      </c>
      <c r="H70" s="1">
        <v>2.2999999999999998</v>
      </c>
      <c r="I70" s="1">
        <v>94.2</v>
      </c>
      <c r="J70" s="10">
        <v>31</v>
      </c>
      <c r="K70" s="10">
        <v>0</v>
      </c>
      <c r="L70" s="163">
        <v>222</v>
      </c>
      <c r="M70" s="212">
        <v>351.91199999999998</v>
      </c>
      <c r="N70" s="265">
        <f>$W$18+$W$19*H70+$W$20*I70+$W$21*J70+$W$22*K70+$W$23*L70+$W$24*M70</f>
        <v>107857591.54315796</v>
      </c>
      <c r="O70" s="49">
        <f>N70-G70</f>
        <v>36907.643044009805</v>
      </c>
      <c r="P70" s="110">
        <f>O70/G70</f>
        <v>3.4230577760201722E-4</v>
      </c>
      <c r="Q70" s="13">
        <f t="shared" si="3"/>
        <v>3.4230577760201722E-4</v>
      </c>
      <c r="R70" s="13"/>
      <c r="S70" s="13"/>
    </row>
    <row r="71" spans="1:19">
      <c r="A71" s="50">
        <f t="shared" si="4"/>
        <v>37164</v>
      </c>
      <c r="B71" s="161">
        <v>94386425.599999994</v>
      </c>
      <c r="C71" s="174">
        <v>432815.5334787161</v>
      </c>
      <c r="F71" s="161">
        <v>368311.19080172421</v>
      </c>
      <c r="G71" s="10">
        <f t="shared" si="2"/>
        <v>93585298.875719547</v>
      </c>
      <c r="H71" s="1">
        <v>118.8</v>
      </c>
      <c r="I71" s="1">
        <v>19.2</v>
      </c>
      <c r="J71" s="10">
        <v>30</v>
      </c>
      <c r="K71" s="10">
        <v>1</v>
      </c>
      <c r="L71" s="163">
        <v>221.7</v>
      </c>
      <c r="M71" s="212">
        <v>303.83999999999997</v>
      </c>
      <c r="N71" s="265">
        <f>$W$18+$W$19*H71+$W$20*I71+$W$21*J71+$W$22*K71+$W$23*L71+$W$24*M71</f>
        <v>90470824.466809154</v>
      </c>
      <c r="O71" s="49">
        <f>N71-G71</f>
        <v>-3114474.4089103937</v>
      </c>
      <c r="P71" s="110">
        <f>O71/G71</f>
        <v>-3.3279526232494999E-2</v>
      </c>
      <c r="Q71" s="13">
        <f t="shared" si="3"/>
        <v>3.3279526232494999E-2</v>
      </c>
      <c r="R71" s="13"/>
      <c r="S71" s="13"/>
    </row>
    <row r="72" spans="1:19">
      <c r="A72" s="50">
        <f t="shared" si="4"/>
        <v>37195</v>
      </c>
      <c r="B72" s="161">
        <v>99648192.5</v>
      </c>
      <c r="C72" s="174">
        <v>450486.39914999891</v>
      </c>
      <c r="F72" s="161">
        <v>388868.77505755745</v>
      </c>
      <c r="G72" s="10">
        <f t="shared" si="2"/>
        <v>98808837.325792447</v>
      </c>
      <c r="H72" s="1">
        <v>276.7</v>
      </c>
      <c r="I72" s="1">
        <v>0</v>
      </c>
      <c r="J72" s="10">
        <v>31</v>
      </c>
      <c r="K72" s="10">
        <v>1</v>
      </c>
      <c r="L72" s="163">
        <v>221</v>
      </c>
      <c r="M72" s="212">
        <v>351.91199999999998</v>
      </c>
      <c r="N72" s="265">
        <f>$W$18+$W$19*H72+$W$20*I72+$W$21*J72+$W$22*K72+$W$23*L72+$W$24*M72</f>
        <v>96152534.467176735</v>
      </c>
      <c r="O72" s="49">
        <f>N72-G72</f>
        <v>-2656302.8586157113</v>
      </c>
      <c r="P72" s="110">
        <f>O72/G72</f>
        <v>-2.6883251847781096E-2</v>
      </c>
      <c r="Q72" s="13">
        <f t="shared" si="3"/>
        <v>2.6883251847781096E-2</v>
      </c>
      <c r="R72" s="13"/>
      <c r="S72" s="13"/>
    </row>
    <row r="73" spans="1:19">
      <c r="A73" s="50">
        <f t="shared" si="4"/>
        <v>37225</v>
      </c>
      <c r="B73" s="161">
        <v>101041155.90000001</v>
      </c>
      <c r="C73" s="174">
        <v>461530.32930000062</v>
      </c>
      <c r="F73" s="161">
        <v>394286.09116890404</v>
      </c>
      <c r="G73" s="10">
        <f t="shared" si="2"/>
        <v>100185339.47953109</v>
      </c>
      <c r="H73" s="1">
        <v>370.8</v>
      </c>
      <c r="I73" s="1">
        <v>0</v>
      </c>
      <c r="J73" s="10">
        <v>30</v>
      </c>
      <c r="K73" s="10">
        <v>1</v>
      </c>
      <c r="L73" s="163">
        <v>222.7</v>
      </c>
      <c r="M73" s="212">
        <v>352.08</v>
      </c>
      <c r="N73" s="265">
        <f>$W$18+$W$19*H73+$W$20*I73+$W$21*J73+$W$22*K73+$W$23*L73+$W$24*M73</f>
        <v>97615495.648720711</v>
      </c>
      <c r="O73" s="49">
        <f>N73-G73</f>
        <v>-2569843.830810383</v>
      </c>
      <c r="P73" s="110">
        <f>O73/G73</f>
        <v>-2.5650897068981122E-2</v>
      </c>
      <c r="Q73" s="13">
        <f t="shared" si="3"/>
        <v>2.5650897068981122E-2</v>
      </c>
      <c r="R73" s="13"/>
      <c r="S73" s="13"/>
    </row>
    <row r="74" spans="1:19">
      <c r="A74" s="50">
        <f t="shared" si="4"/>
        <v>37256</v>
      </c>
      <c r="B74" s="161">
        <v>105627131.59999999</v>
      </c>
      <c r="C74" s="174">
        <v>437328.15435000218</v>
      </c>
      <c r="F74" s="161">
        <v>412358.62826171383</v>
      </c>
      <c r="G74" s="10">
        <f t="shared" si="2"/>
        <v>104777444.81738828</v>
      </c>
      <c r="H74" s="1">
        <v>563.29999999999995</v>
      </c>
      <c r="I74" s="1">
        <v>0</v>
      </c>
      <c r="J74" s="10">
        <v>31</v>
      </c>
      <c r="K74" s="10">
        <v>0</v>
      </c>
      <c r="L74" s="163">
        <v>222.6</v>
      </c>
      <c r="M74" s="212">
        <v>304.29599999999999</v>
      </c>
      <c r="N74" s="265">
        <f>$W$18+$W$19*H74+$W$20*I74+$W$21*J74+$W$22*K74+$W$23*L74+$W$24*M74</f>
        <v>103604101.92897128</v>
      </c>
      <c r="O74" s="49">
        <f>N74-G74</f>
        <v>-1173342.8884170055</v>
      </c>
      <c r="P74" s="110">
        <f>O74/G74</f>
        <v>-1.1198430067291392E-2</v>
      </c>
      <c r="Q74" s="13">
        <f t="shared" si="3"/>
        <v>1.1198430067291392E-2</v>
      </c>
      <c r="R74" s="13"/>
      <c r="S74" s="13"/>
    </row>
    <row r="75" spans="1:19">
      <c r="A75" s="50">
        <f>EOMONTH(A74,1)</f>
        <v>37287</v>
      </c>
      <c r="B75" s="161">
        <v>113024587.8</v>
      </c>
      <c r="C75" s="174">
        <v>462984.09705000161</v>
      </c>
      <c r="F75" s="161">
        <v>105964.02553559632</v>
      </c>
      <c r="G75" s="10">
        <f t="shared" si="2"/>
        <v>112455639.6774144</v>
      </c>
      <c r="H75" s="1">
        <v>625.70000000000005</v>
      </c>
      <c r="I75" s="1">
        <v>0</v>
      </c>
      <c r="J75" s="10">
        <v>31</v>
      </c>
      <c r="K75" s="10">
        <v>0</v>
      </c>
      <c r="L75" s="163">
        <v>220.8</v>
      </c>
      <c r="M75" s="212">
        <v>351.91199999999998</v>
      </c>
      <c r="N75" s="265">
        <f>$W$18+$W$19*H75+$W$20*I75+$W$21*J75+$W$22*K75+$W$23*L75+$W$24*M75</f>
        <v>107666348.25306213</v>
      </c>
      <c r="O75" s="49">
        <f>N75-G75</f>
        <v>-4789291.4243522733</v>
      </c>
      <c r="P75" s="110">
        <f>O75/G75</f>
        <v>-4.2588272478735943E-2</v>
      </c>
      <c r="Q75" s="13">
        <f t="shared" si="3"/>
        <v>4.2588272478735943E-2</v>
      </c>
      <c r="R75" s="13"/>
      <c r="S75" s="13"/>
    </row>
    <row r="76" spans="1:19">
      <c r="A76" s="50">
        <f t="shared" si="4"/>
        <v>37315</v>
      </c>
      <c r="B76" s="161">
        <v>102515394.69999999</v>
      </c>
      <c r="C76" s="174">
        <v>411477.43500000006</v>
      </c>
      <c r="F76" s="161">
        <v>96119.295927100597</v>
      </c>
      <c r="G76" s="10">
        <f t="shared" si="2"/>
        <v>102007797.96907288</v>
      </c>
      <c r="H76" s="1">
        <v>592</v>
      </c>
      <c r="I76" s="1">
        <v>0</v>
      </c>
      <c r="J76" s="10">
        <v>28</v>
      </c>
      <c r="K76" s="10">
        <v>0</v>
      </c>
      <c r="L76" s="163">
        <v>219.2</v>
      </c>
      <c r="M76" s="212">
        <v>319.87200000000001</v>
      </c>
      <c r="N76" s="265">
        <f>$W$18+$W$19*H76+$W$20*I76+$W$21*J76+$W$22*K76+$W$23*L76+$W$24*M76</f>
        <v>98184263.635835499</v>
      </c>
      <c r="O76" s="49">
        <f>N76-G76</f>
        <v>-3823534.3332373798</v>
      </c>
      <c r="P76" s="110">
        <f>O76/G76</f>
        <v>-3.7482765135236171E-2</v>
      </c>
      <c r="Q76" s="13">
        <f t="shared" si="3"/>
        <v>3.7482765135236171E-2</v>
      </c>
      <c r="R76" s="13"/>
      <c r="S76" s="13"/>
    </row>
    <row r="77" spans="1:19">
      <c r="A77" s="50">
        <f t="shared" si="4"/>
        <v>37346</v>
      </c>
      <c r="B77" s="161">
        <v>109462736.8</v>
      </c>
      <c r="C77" s="174">
        <v>484062.31799999811</v>
      </c>
      <c r="F77" s="161">
        <v>102591.10270071111</v>
      </c>
      <c r="G77" s="10">
        <f t="shared" si="2"/>
        <v>108876083.37929928</v>
      </c>
      <c r="H77" s="1">
        <v>581.20000000000005</v>
      </c>
      <c r="I77" s="1">
        <v>0</v>
      </c>
      <c r="J77" s="10">
        <v>31</v>
      </c>
      <c r="K77" s="10">
        <v>1</v>
      </c>
      <c r="L77" s="163">
        <v>218</v>
      </c>
      <c r="M77" s="212">
        <v>319.92</v>
      </c>
      <c r="N77" s="265">
        <f>$W$18+$W$19*H77+$W$20*I77+$W$21*J77+$W$22*K77+$W$23*L77+$W$24*M77</f>
        <v>101198351.02066851</v>
      </c>
      <c r="O77" s="49">
        <f>N77-G77</f>
        <v>-7677732.3586307764</v>
      </c>
      <c r="P77" s="110">
        <f>O77/G77</f>
        <v>-7.0518080007372405E-2</v>
      </c>
      <c r="Q77" s="13">
        <f t="shared" si="3"/>
        <v>7.0518080007372405E-2</v>
      </c>
      <c r="R77" s="13"/>
      <c r="S77" s="13"/>
    </row>
    <row r="78" spans="1:19">
      <c r="A78" s="50">
        <f t="shared" si="4"/>
        <v>37376</v>
      </c>
      <c r="B78" s="161">
        <v>101175171.19999999</v>
      </c>
      <c r="C78" s="174">
        <v>484651.35269999848</v>
      </c>
      <c r="F78" s="161">
        <v>94788.74203364017</v>
      </c>
      <c r="G78" s="10">
        <f t="shared" si="2"/>
        <v>100595731.10526635</v>
      </c>
      <c r="H78" s="1">
        <v>356.2</v>
      </c>
      <c r="I78" s="1">
        <v>6.6</v>
      </c>
      <c r="J78" s="10">
        <v>30</v>
      </c>
      <c r="K78" s="10">
        <v>1</v>
      </c>
      <c r="L78" s="163">
        <v>219.4</v>
      </c>
      <c r="M78" s="212">
        <v>352.08</v>
      </c>
      <c r="N78" s="265">
        <f>$W$18+$W$19*H78+$W$20*I78+$W$21*J78+$W$22*K78+$W$23*L78+$W$24*M78</f>
        <v>96945632.078296453</v>
      </c>
      <c r="O78" s="49">
        <f>N78-G78</f>
        <v>-3650099.0269698948</v>
      </c>
      <c r="P78" s="110">
        <f>O78/G78</f>
        <v>-3.6284830249410122E-2</v>
      </c>
      <c r="Q78" s="13">
        <f t="shared" si="3"/>
        <v>3.6284830249410122E-2</v>
      </c>
      <c r="R78" s="13"/>
      <c r="S78" s="13"/>
    </row>
    <row r="79" spans="1:19">
      <c r="A79" s="50">
        <f t="shared" si="4"/>
        <v>37407</v>
      </c>
      <c r="B79" s="161">
        <v>99710889</v>
      </c>
      <c r="C79" s="174">
        <v>473869.00665000005</v>
      </c>
      <c r="F79" s="161">
        <v>93420.436229767685</v>
      </c>
      <c r="G79" s="10">
        <f t="shared" si="2"/>
        <v>99143599.557120234</v>
      </c>
      <c r="H79" s="1">
        <v>266.8</v>
      </c>
      <c r="I79" s="1">
        <v>5.3</v>
      </c>
      <c r="J79" s="10">
        <v>31</v>
      </c>
      <c r="K79" s="10">
        <v>1</v>
      </c>
      <c r="L79" s="163">
        <v>222.7</v>
      </c>
      <c r="M79" s="212">
        <v>351.91199999999998</v>
      </c>
      <c r="N79" s="265">
        <f>$W$18+$W$19*H79+$W$20*I79+$W$21*J79+$W$22*K79+$W$23*L79+$W$24*M79</f>
        <v>97582697.343596578</v>
      </c>
      <c r="O79" s="49">
        <f>N79-G79</f>
        <v>-1560902.2135236561</v>
      </c>
      <c r="P79" s="110">
        <f>O79/G79</f>
        <v>-1.5743852558271938E-2</v>
      </c>
      <c r="Q79" s="13">
        <f t="shared" si="3"/>
        <v>1.5743852558271938E-2</v>
      </c>
      <c r="R79" s="13"/>
      <c r="S79" s="13"/>
    </row>
    <row r="80" spans="1:19">
      <c r="A80" s="50">
        <f t="shared" si="4"/>
        <v>37437</v>
      </c>
      <c r="B80" s="161">
        <v>104229282</v>
      </c>
      <c r="C80" s="174">
        <v>414659.7279</v>
      </c>
      <c r="F80" s="161">
        <v>97729.731307308903</v>
      </c>
      <c r="G80" s="10">
        <f t="shared" si="2"/>
        <v>103716892.54079269</v>
      </c>
      <c r="H80" s="1">
        <v>53.1</v>
      </c>
      <c r="I80" s="1">
        <v>54.5</v>
      </c>
      <c r="J80" s="10">
        <v>30</v>
      </c>
      <c r="K80" s="10">
        <v>0</v>
      </c>
      <c r="L80" s="163">
        <v>226.3</v>
      </c>
      <c r="M80" s="212">
        <v>319.68</v>
      </c>
      <c r="N80" s="265">
        <f>$W$18+$W$19*H80+$W$20*I80+$W$21*J80+$W$22*K80+$W$23*L80+$W$24*M80</f>
        <v>99977762.158518568</v>
      </c>
      <c r="O80" s="49">
        <f>N80-G80</f>
        <v>-3739130.382274121</v>
      </c>
      <c r="P80" s="110">
        <f>O80/G80</f>
        <v>-3.6051315178031305E-2</v>
      </c>
      <c r="Q80" s="13">
        <f t="shared" si="3"/>
        <v>3.6051315178031305E-2</v>
      </c>
      <c r="R80" s="13"/>
      <c r="S80" s="13"/>
    </row>
    <row r="81" spans="1:26">
      <c r="A81" s="50">
        <f t="shared" si="4"/>
        <v>37468</v>
      </c>
      <c r="B81" s="161">
        <v>118623870</v>
      </c>
      <c r="C81" s="174">
        <v>434816.75880000001</v>
      </c>
      <c r="F81" s="161">
        <v>111261.63312961263</v>
      </c>
      <c r="G81" s="10">
        <f t="shared" si="2"/>
        <v>118077791.60807039</v>
      </c>
      <c r="H81" s="1">
        <v>4.7</v>
      </c>
      <c r="I81" s="1">
        <v>129</v>
      </c>
      <c r="J81" s="10">
        <v>31</v>
      </c>
      <c r="K81" s="10">
        <v>0</v>
      </c>
      <c r="L81" s="163">
        <v>228.4</v>
      </c>
      <c r="M81" s="212">
        <v>351.91199999999998</v>
      </c>
      <c r="N81" s="265">
        <f>$W$18+$W$19*H81+$W$20*I81+$W$21*J81+$W$22*K81+$W$23*L81+$W$24*M81</f>
        <v>117022816.47050212</v>
      </c>
      <c r="O81" s="49">
        <f>N81-G81</f>
        <v>-1054975.1375682652</v>
      </c>
      <c r="P81" s="110">
        <f>O81/G81</f>
        <v>-8.9345771393658045E-3</v>
      </c>
      <c r="Q81" s="13">
        <f t="shared" si="3"/>
        <v>8.9345771393658045E-3</v>
      </c>
      <c r="R81" s="13"/>
      <c r="S81" s="13"/>
    </row>
    <row r="82" spans="1:26">
      <c r="A82" s="50">
        <f t="shared" si="4"/>
        <v>37499</v>
      </c>
      <c r="B82" s="161">
        <v>111583120</v>
      </c>
      <c r="C82" s="174">
        <v>449451.35415000003</v>
      </c>
      <c r="F82" s="161">
        <v>104619.78609802556</v>
      </c>
      <c r="G82" s="10">
        <f t="shared" si="2"/>
        <v>111029048.85975198</v>
      </c>
      <c r="H82" s="1">
        <v>11</v>
      </c>
      <c r="I82" s="1">
        <v>72.3</v>
      </c>
      <c r="J82" s="10">
        <v>31</v>
      </c>
      <c r="K82" s="10">
        <v>0</v>
      </c>
      <c r="L82" s="163">
        <v>229.5</v>
      </c>
      <c r="M82" s="212">
        <v>336.28800000000001</v>
      </c>
      <c r="N82" s="265">
        <f>$W$18+$W$19*H82+$W$20*I82+$W$21*J82+$W$22*K82+$W$23*L82+$W$24*M82</f>
        <v>106430677.01383771</v>
      </c>
      <c r="O82" s="49">
        <f>N82-G82</f>
        <v>-4598371.8459142745</v>
      </c>
      <c r="P82" s="110">
        <f>O82/G82</f>
        <v>-4.1415934776877869E-2</v>
      </c>
      <c r="Q82" s="13">
        <f t="shared" si="3"/>
        <v>4.1415934776877869E-2</v>
      </c>
      <c r="R82" s="13"/>
      <c r="S82" s="13"/>
    </row>
    <row r="83" spans="1:26">
      <c r="A83" s="50">
        <f t="shared" si="4"/>
        <v>37529</v>
      </c>
      <c r="B83" s="161">
        <v>105982565.17205401</v>
      </c>
      <c r="C83" s="174">
        <v>448585.68015000003</v>
      </c>
      <c r="F83" s="161">
        <v>99348.311767702166</v>
      </c>
      <c r="G83" s="10">
        <f t="shared" si="2"/>
        <v>105434631.18013631</v>
      </c>
      <c r="H83" s="1">
        <v>50.2</v>
      </c>
      <c r="I83" s="1">
        <v>47</v>
      </c>
      <c r="J83" s="10">
        <v>30</v>
      </c>
      <c r="K83" s="10">
        <v>1</v>
      </c>
      <c r="L83" s="163">
        <v>227.9</v>
      </c>
      <c r="M83" s="212">
        <v>319.68</v>
      </c>
      <c r="N83" s="265">
        <f>$W$18+$W$19*H83+$W$20*I83+$W$21*J83+$W$22*K83+$W$23*L83+$W$24*M83</f>
        <v>97349602.973118946</v>
      </c>
      <c r="O83" s="49">
        <f>N83-G83</f>
        <v>-8085028.2070173621</v>
      </c>
      <c r="P83" s="110">
        <f>O83/G83</f>
        <v>-7.6682851891462456E-2</v>
      </c>
      <c r="Q83" s="13">
        <f t="shared" si="3"/>
        <v>7.6682851891462456E-2</v>
      </c>
      <c r="R83" s="13"/>
      <c r="S83" s="13"/>
      <c r="T83" s="58"/>
      <c r="U83" s="58"/>
      <c r="V83" s="58"/>
      <c r="W83" s="58"/>
      <c r="X83" s="58"/>
      <c r="Y83" s="58"/>
      <c r="Z83" s="58"/>
    </row>
    <row r="84" spans="1:26">
      <c r="A84" s="50">
        <f t="shared" si="4"/>
        <v>37560</v>
      </c>
      <c r="B84" s="161">
        <v>105094244.00417101</v>
      </c>
      <c r="C84" s="174">
        <v>468666.49410000007</v>
      </c>
      <c r="F84" s="161">
        <v>98493.15399069</v>
      </c>
      <c r="G84" s="10">
        <f t="shared" si="2"/>
        <v>104527084.35608032</v>
      </c>
      <c r="H84" s="1">
        <v>349.3</v>
      </c>
      <c r="I84" s="1">
        <v>1</v>
      </c>
      <c r="J84" s="10">
        <v>31</v>
      </c>
      <c r="K84" s="10">
        <v>1</v>
      </c>
      <c r="L84" s="163">
        <v>228.5</v>
      </c>
      <c r="M84" s="212">
        <v>351.91199999999998</v>
      </c>
      <c r="N84" s="265">
        <f>$W$18+$W$19*H84+$W$20*I84+$W$21*J84+$W$22*K84+$W$23*L84+$W$24*M84</f>
        <v>101656995.40980221</v>
      </c>
      <c r="O84" s="49">
        <f>N84-G84</f>
        <v>-2870088.9462781101</v>
      </c>
      <c r="P84" s="110">
        <f>O84/G84</f>
        <v>-2.7457849455562258E-2</v>
      </c>
      <c r="Q84" s="13">
        <f t="shared" si="3"/>
        <v>2.7457849455562258E-2</v>
      </c>
      <c r="R84" s="13"/>
      <c r="S84" s="13"/>
      <c r="T84" s="58"/>
      <c r="U84" s="58"/>
      <c r="V84" s="58"/>
      <c r="W84" s="58"/>
      <c r="X84" s="58"/>
      <c r="Y84" s="58"/>
      <c r="Z84" s="58"/>
    </row>
    <row r="85" spans="1:26">
      <c r="A85" s="50">
        <f t="shared" si="4"/>
        <v>37590</v>
      </c>
      <c r="B85" s="161">
        <v>107844017</v>
      </c>
      <c r="C85" s="174">
        <v>482076.91350000002</v>
      </c>
      <c r="F85" s="161">
        <v>101069.13002856316</v>
      </c>
      <c r="G85" s="10">
        <f t="shared" si="2"/>
        <v>107260870.95647144</v>
      </c>
      <c r="H85" s="1">
        <v>486.4</v>
      </c>
      <c r="I85" s="1">
        <v>0</v>
      </c>
      <c r="J85" s="10">
        <v>30</v>
      </c>
      <c r="K85" s="10">
        <v>1</v>
      </c>
      <c r="L85" s="163">
        <v>228.4</v>
      </c>
      <c r="M85" s="212">
        <v>336.24</v>
      </c>
      <c r="N85" s="265">
        <f>$W$18+$W$19*H85+$W$20*I85+$W$21*J85+$W$22*K85+$W$23*L85+$W$24*M85</f>
        <v>102303346.53809679</v>
      </c>
      <c r="O85" s="49">
        <f>N85-G85</f>
        <v>-4957524.4183746576</v>
      </c>
      <c r="P85" s="110">
        <f>O85/G85</f>
        <v>-4.621931906917405E-2</v>
      </c>
      <c r="Q85" s="13">
        <f t="shared" si="3"/>
        <v>4.621931906917405E-2</v>
      </c>
      <c r="R85" s="13"/>
      <c r="S85" s="13"/>
      <c r="T85" s="124"/>
      <c r="U85" s="124"/>
      <c r="V85" s="58"/>
      <c r="W85" s="58"/>
      <c r="X85" s="58"/>
      <c r="Y85" s="58"/>
      <c r="Z85" s="58"/>
    </row>
    <row r="86" spans="1:26">
      <c r="A86" s="50">
        <f t="shared" si="4"/>
        <v>37621</v>
      </c>
      <c r="B86" s="161">
        <v>113855250</v>
      </c>
      <c r="C86" s="174">
        <v>475039.54845000006</v>
      </c>
      <c r="F86" s="161">
        <v>106734.65125128154</v>
      </c>
      <c r="G86" s="10">
        <f t="shared" si="2"/>
        <v>113273475.80029872</v>
      </c>
      <c r="H86" s="1">
        <v>675.6</v>
      </c>
      <c r="I86" s="1">
        <v>0</v>
      </c>
      <c r="J86" s="10">
        <v>31</v>
      </c>
      <c r="K86" s="10">
        <v>0</v>
      </c>
      <c r="L86" s="163">
        <v>232.4</v>
      </c>
      <c r="M86" s="212">
        <v>319.92</v>
      </c>
      <c r="N86" s="265">
        <f>$W$18+$W$19*H86+$W$20*I86+$W$21*J86+$W$22*K86+$W$23*L86+$W$24*M86</f>
        <v>112069662.64860219</v>
      </c>
      <c r="O86" s="49">
        <f>N86-G86</f>
        <v>-1203813.151696533</v>
      </c>
      <c r="P86" s="110">
        <f>O86/G86</f>
        <v>-1.0627493711050741E-2</v>
      </c>
      <c r="Q86" s="13">
        <f t="shared" si="3"/>
        <v>1.0627493711050741E-2</v>
      </c>
      <c r="R86" s="13"/>
      <c r="S86" s="13"/>
      <c r="T86" s="30"/>
      <c r="U86" s="30"/>
      <c r="V86" s="58"/>
      <c r="W86" s="58"/>
      <c r="X86" s="58"/>
      <c r="Y86" s="58"/>
      <c r="Z86" s="58"/>
    </row>
    <row r="87" spans="1:26">
      <c r="A87" s="50">
        <f t="shared" si="4"/>
        <v>37652</v>
      </c>
      <c r="B87" s="161">
        <v>122281722</v>
      </c>
      <c r="C87" s="174">
        <v>568885.19670000009</v>
      </c>
      <c r="F87" s="161">
        <v>197927.65919655657</v>
      </c>
      <c r="G87" s="10">
        <f t="shared" si="2"/>
        <v>121514909.14410344</v>
      </c>
      <c r="H87" s="1">
        <v>868.4</v>
      </c>
      <c r="I87" s="1">
        <v>0</v>
      </c>
      <c r="J87" s="10">
        <v>31</v>
      </c>
      <c r="K87" s="10">
        <v>0</v>
      </c>
      <c r="L87" s="163">
        <v>233.3</v>
      </c>
      <c r="M87" s="212">
        <v>351.91199999999998</v>
      </c>
      <c r="N87" s="265">
        <f>$W$18+$W$19*H87+$W$20*I87+$W$21*J87+$W$22*K87+$W$23*L87+$W$24*M87</f>
        <v>119923029.22544855</v>
      </c>
      <c r="O87" s="49">
        <f>N87-G87</f>
        <v>-1591879.9186548889</v>
      </c>
      <c r="P87" s="110">
        <f>O87/G87</f>
        <v>-1.3100284811694117E-2</v>
      </c>
      <c r="Q87" s="13">
        <f t="shared" si="3"/>
        <v>1.3100284811694117E-2</v>
      </c>
      <c r="R87" s="13"/>
      <c r="S87" s="13"/>
      <c r="T87" s="30"/>
      <c r="U87" s="30"/>
      <c r="V87" s="58"/>
      <c r="W87" s="58"/>
      <c r="X87" s="58"/>
      <c r="Y87" s="58"/>
      <c r="Z87" s="58"/>
    </row>
    <row r="88" spans="1:26">
      <c r="A88" s="50">
        <f t="shared" si="4"/>
        <v>37680</v>
      </c>
      <c r="B88" s="161">
        <v>110139892</v>
      </c>
      <c r="C88" s="174">
        <v>488139.45435000007</v>
      </c>
      <c r="F88" s="161">
        <v>178314.09798816007</v>
      </c>
      <c r="G88" s="10">
        <f t="shared" si="2"/>
        <v>109473438.44766185</v>
      </c>
      <c r="H88" s="1">
        <v>755.9</v>
      </c>
      <c r="I88" s="1">
        <v>0</v>
      </c>
      <c r="J88" s="10">
        <v>29</v>
      </c>
      <c r="K88" s="10">
        <v>0</v>
      </c>
      <c r="L88" s="163">
        <v>232.4</v>
      </c>
      <c r="M88" s="212">
        <v>319.87200000000001</v>
      </c>
      <c r="N88" s="265">
        <f>$W$18+$W$19*H88+$W$20*I88+$W$21*J88+$W$22*K88+$W$23*L88+$W$24*M88</f>
        <v>110472190.19967431</v>
      </c>
      <c r="O88" s="49">
        <f>N88-G88</f>
        <v>998751.75201246142</v>
      </c>
      <c r="P88" s="110">
        <f>O88/G88</f>
        <v>9.1232336005409621E-3</v>
      </c>
      <c r="Q88" s="13">
        <f t="shared" si="3"/>
        <v>9.1232336005409621E-3</v>
      </c>
      <c r="R88" s="13"/>
      <c r="S88" s="13"/>
      <c r="T88" s="30"/>
      <c r="U88" s="30"/>
      <c r="V88" s="58"/>
      <c r="W88" s="58"/>
      <c r="X88" s="58"/>
      <c r="Y88" s="58"/>
      <c r="Z88" s="58"/>
    </row>
    <row r="89" spans="1:26">
      <c r="A89" s="50">
        <f t="shared" si="4"/>
        <v>37711</v>
      </c>
      <c r="B89" s="161">
        <v>112160711</v>
      </c>
      <c r="C89" s="174">
        <v>521552.58885000006</v>
      </c>
      <c r="F89" s="161">
        <v>181545.98873332143</v>
      </c>
      <c r="G89" s="10">
        <f t="shared" si="2"/>
        <v>111457612.42241667</v>
      </c>
      <c r="H89" s="1">
        <v>638.70000000000005</v>
      </c>
      <c r="I89" s="1">
        <v>0</v>
      </c>
      <c r="J89" s="10">
        <v>31</v>
      </c>
      <c r="K89" s="10">
        <v>1</v>
      </c>
      <c r="L89" s="163">
        <v>230.3</v>
      </c>
      <c r="M89" s="212">
        <v>336.28800000000001</v>
      </c>
      <c r="N89" s="265">
        <f>$W$18+$W$19*H89+$W$20*I89+$W$21*J89+$W$22*K89+$W$23*L89+$W$24*M89</f>
        <v>109291187.57077907</v>
      </c>
      <c r="O89" s="49">
        <f>N89-G89</f>
        <v>-2166424.8516376019</v>
      </c>
      <c r="P89" s="110">
        <f>O89/G89</f>
        <v>-1.9437208500636106E-2</v>
      </c>
      <c r="Q89" s="13">
        <f t="shared" si="3"/>
        <v>1.9437208500636106E-2</v>
      </c>
      <c r="R89" s="13"/>
      <c r="S89" s="13"/>
      <c r="T89" s="30"/>
      <c r="U89" s="30"/>
      <c r="V89" s="58"/>
      <c r="W89" s="58"/>
      <c r="X89" s="58"/>
      <c r="Y89" s="58"/>
      <c r="Z89" s="58"/>
    </row>
    <row r="90" spans="1:26">
      <c r="A90" s="50">
        <f t="shared" si="4"/>
        <v>37741</v>
      </c>
      <c r="B90" s="161">
        <v>101765882</v>
      </c>
      <c r="C90" s="174">
        <v>504137.48625000007</v>
      </c>
      <c r="F90" s="161">
        <v>164670.38797359524</v>
      </c>
      <c r="G90" s="10">
        <f t="shared" si="2"/>
        <v>101097074.12577641</v>
      </c>
      <c r="H90" s="1">
        <v>397.4</v>
      </c>
      <c r="I90" s="1">
        <v>0.7</v>
      </c>
      <c r="J90" s="10">
        <v>30</v>
      </c>
      <c r="K90" s="10">
        <v>1</v>
      </c>
      <c r="L90" s="163">
        <v>230.3</v>
      </c>
      <c r="M90" s="212">
        <v>336.24</v>
      </c>
      <c r="N90" s="265">
        <f>$W$18+$W$19*H90+$W$20*I90+$W$21*J90+$W$22*K90+$W$23*L90+$W$24*M90</f>
        <v>100792914.30913594</v>
      </c>
      <c r="O90" s="49">
        <f>N90-G90</f>
        <v>-304159.81664046645</v>
      </c>
      <c r="P90" s="110">
        <f>O90/G90</f>
        <v>-3.008591685473079E-3</v>
      </c>
      <c r="Q90" s="13">
        <f t="shared" si="3"/>
        <v>3.008591685473079E-3</v>
      </c>
      <c r="R90" s="13"/>
      <c r="S90" s="13"/>
      <c r="T90" s="30"/>
      <c r="U90" s="30"/>
      <c r="V90" s="58"/>
      <c r="W90" s="58"/>
      <c r="X90" s="58"/>
      <c r="Y90" s="58"/>
      <c r="Z90" s="58"/>
    </row>
    <row r="91" spans="1:26">
      <c r="A91" s="50">
        <f t="shared" si="4"/>
        <v>37772</v>
      </c>
      <c r="B91" s="161">
        <v>96091846</v>
      </c>
      <c r="C91" s="174">
        <v>517449.10590000002</v>
      </c>
      <c r="F91" s="161">
        <v>155421.70532877569</v>
      </c>
      <c r="G91" s="10">
        <f t="shared" si="2"/>
        <v>95418975.188771218</v>
      </c>
      <c r="H91" s="1">
        <v>217</v>
      </c>
      <c r="I91" s="1">
        <v>0</v>
      </c>
      <c r="J91" s="10">
        <v>31</v>
      </c>
      <c r="K91" s="10">
        <v>1</v>
      </c>
      <c r="L91" s="163">
        <v>232.8</v>
      </c>
      <c r="M91" s="212">
        <v>336.28800000000001</v>
      </c>
      <c r="N91" s="265">
        <f>$W$18+$W$19*H91+$W$20*I91+$W$21*J91+$W$22*K91+$W$23*L91+$W$24*M91</f>
        <v>98669974.593234852</v>
      </c>
      <c r="O91" s="49">
        <f>N91-G91</f>
        <v>3250999.4044636339</v>
      </c>
      <c r="P91" s="110">
        <f>O91/G91</f>
        <v>3.407078516649388E-2</v>
      </c>
      <c r="Q91" s="13">
        <f t="shared" si="3"/>
        <v>3.407078516649388E-2</v>
      </c>
      <c r="R91" s="13"/>
      <c r="S91" s="13"/>
      <c r="T91" s="58"/>
      <c r="U91" s="58"/>
      <c r="V91" s="58"/>
      <c r="W91" s="58"/>
      <c r="X91" s="58"/>
      <c r="Y91" s="58"/>
      <c r="Z91" s="58"/>
    </row>
    <row r="92" spans="1:26">
      <c r="A92" s="50">
        <f t="shared" si="4"/>
        <v>37802</v>
      </c>
      <c r="B92" s="161">
        <v>100440873</v>
      </c>
      <c r="C92" s="174">
        <v>476663.62815</v>
      </c>
      <c r="F92" s="161">
        <v>162560.3550460366</v>
      </c>
      <c r="G92" s="10">
        <f t="shared" ref="G92:G155" si="5">+B92-C92+D92-F92</f>
        <v>99801649.016803965</v>
      </c>
      <c r="H92" s="1">
        <v>65.3</v>
      </c>
      <c r="I92" s="1">
        <v>25.5</v>
      </c>
      <c r="J92" s="10">
        <v>30</v>
      </c>
      <c r="K92" s="10">
        <v>0</v>
      </c>
      <c r="L92" s="163">
        <v>234.5</v>
      </c>
      <c r="M92" s="212">
        <v>336.24</v>
      </c>
      <c r="N92" s="265">
        <f>$W$18+$W$19*H92+$W$20*I92+$W$21*J92+$W$22*K92+$W$23*L92+$W$24*M92</f>
        <v>99785389.194142208</v>
      </c>
      <c r="O92" s="49">
        <f>N92-G92</f>
        <v>-16259.822661757469</v>
      </c>
      <c r="P92" s="110">
        <f>O92/G92</f>
        <v>-1.6292138278215968E-4</v>
      </c>
      <c r="Q92" s="13">
        <f t="shared" ref="Q92:Q155" si="6">ABS(P92)</f>
        <v>1.6292138278215968E-4</v>
      </c>
      <c r="R92" s="13"/>
      <c r="S92" s="13"/>
      <c r="T92" s="58"/>
      <c r="U92" s="58"/>
      <c r="V92" s="58"/>
      <c r="W92" s="58"/>
      <c r="X92" s="58"/>
      <c r="Y92" s="58"/>
      <c r="Z92" s="58"/>
    </row>
    <row r="93" spans="1:26">
      <c r="A93" s="50">
        <f t="shared" si="4"/>
        <v>37833</v>
      </c>
      <c r="B93" s="161">
        <v>109723172</v>
      </c>
      <c r="C93" s="174">
        <v>519354.52965000004</v>
      </c>
      <c r="F93" s="161">
        <v>177585.67243129425</v>
      </c>
      <c r="G93" s="10">
        <f t="shared" si="5"/>
        <v>109026231.79791871</v>
      </c>
      <c r="H93" s="1">
        <v>12.5</v>
      </c>
      <c r="I93" s="1">
        <v>50.1</v>
      </c>
      <c r="J93" s="10">
        <v>31</v>
      </c>
      <c r="K93" s="10">
        <v>0</v>
      </c>
      <c r="L93" s="163">
        <v>234.8</v>
      </c>
      <c r="M93" s="212">
        <v>351.91199999999998</v>
      </c>
      <c r="N93" s="265">
        <f>$W$18+$W$19*H93+$W$20*I93+$W$21*J93+$W$22*K93+$W$23*L93+$W$24*M93</f>
        <v>105827898.14991069</v>
      </c>
      <c r="O93" s="49">
        <f>N93-G93</f>
        <v>-3198333.6480080187</v>
      </c>
      <c r="P93" s="110">
        <f>O93/G93</f>
        <v>-2.9335450700856695E-2</v>
      </c>
      <c r="Q93" s="13">
        <f t="shared" si="6"/>
        <v>2.9335450700856695E-2</v>
      </c>
      <c r="R93" s="13"/>
      <c r="S93" s="13"/>
      <c r="T93" s="125"/>
      <c r="U93" s="125"/>
      <c r="V93" s="125"/>
      <c r="W93" s="125"/>
      <c r="X93" s="125"/>
      <c r="Y93" s="125"/>
      <c r="Z93" s="58"/>
    </row>
    <row r="94" spans="1:26">
      <c r="A94" s="50">
        <f t="shared" si="4"/>
        <v>37864</v>
      </c>
      <c r="B94" s="161">
        <v>104089100</v>
      </c>
      <c r="C94" s="174">
        <v>498723.25995000009</v>
      </c>
      <c r="F94" s="161">
        <v>168457.1761036434</v>
      </c>
      <c r="G94" s="10">
        <f t="shared" si="5"/>
        <v>103421919.56394637</v>
      </c>
      <c r="H94" s="1">
        <v>18.899999999999999</v>
      </c>
      <c r="I94" s="1">
        <v>72.400000000000006</v>
      </c>
      <c r="J94" s="10">
        <v>31</v>
      </c>
      <c r="K94" s="10">
        <v>0</v>
      </c>
      <c r="L94" s="163">
        <v>235</v>
      </c>
      <c r="M94" s="212">
        <v>319.92</v>
      </c>
      <c r="N94" s="265">
        <f>$W$18+$W$19*H94+$W$20*I94+$W$21*J94+$W$22*K94+$W$23*L94+$W$24*M94</f>
        <v>108019772.84728506</v>
      </c>
      <c r="O94" s="49">
        <f>N94-G94</f>
        <v>4597853.2833386958</v>
      </c>
      <c r="P94" s="110">
        <f>O94/G94</f>
        <v>4.4457241779348497E-2</v>
      </c>
      <c r="Q94" s="13">
        <f t="shared" si="6"/>
        <v>4.4457241779348497E-2</v>
      </c>
      <c r="R94" s="13"/>
      <c r="S94" s="13"/>
      <c r="T94" s="30"/>
      <c r="U94" s="30"/>
      <c r="V94" s="30"/>
      <c r="W94" s="30"/>
      <c r="X94" s="30"/>
      <c r="Y94" s="30"/>
      <c r="Z94" s="58"/>
    </row>
    <row r="95" spans="1:26">
      <c r="A95" s="50">
        <f t="shared" si="4"/>
        <v>37894</v>
      </c>
      <c r="B95" s="161">
        <v>98681486</v>
      </c>
      <c r="C95" s="174">
        <v>477820.99665000004</v>
      </c>
      <c r="F95" s="161">
        <v>159697.38319425046</v>
      </c>
      <c r="G95" s="10">
        <f t="shared" si="5"/>
        <v>98043967.620155752</v>
      </c>
      <c r="H95" s="1">
        <v>104.1</v>
      </c>
      <c r="I95" s="1">
        <v>6</v>
      </c>
      <c r="J95" s="10">
        <v>30</v>
      </c>
      <c r="K95" s="10">
        <v>1</v>
      </c>
      <c r="L95" s="163">
        <v>235.6</v>
      </c>
      <c r="M95" s="212">
        <v>336.24</v>
      </c>
      <c r="N95" s="265">
        <f>$W$18+$W$19*H95+$W$20*I95+$W$21*J95+$W$22*K95+$W$23*L95+$W$24*M95</f>
        <v>95931420.307905763</v>
      </c>
      <c r="O95" s="49">
        <f>N95-G95</f>
        <v>-2112547.3122499883</v>
      </c>
      <c r="P95" s="110">
        <f>O95/G95</f>
        <v>-2.154693821076753E-2</v>
      </c>
      <c r="Q95" s="13">
        <f t="shared" si="6"/>
        <v>2.154693821076753E-2</v>
      </c>
      <c r="R95" s="13"/>
      <c r="S95" s="13"/>
      <c r="T95" s="30"/>
      <c r="U95" s="30"/>
      <c r="V95" s="30"/>
      <c r="W95" s="30"/>
      <c r="X95" s="30"/>
      <c r="Y95" s="30"/>
      <c r="Z95" s="58"/>
    </row>
    <row r="96" spans="1:26">
      <c r="A96" s="50">
        <f t="shared" ref="A96:A159" si="7">EOMONTH(A95,1)</f>
        <v>37925</v>
      </c>
      <c r="B96" s="161">
        <v>104199872</v>
      </c>
      <c r="C96" s="174">
        <v>511790.23260000005</v>
      </c>
      <c r="F96" s="161">
        <v>168616.06260947988</v>
      </c>
      <c r="G96" s="10">
        <f t="shared" si="5"/>
        <v>103519465.70479052</v>
      </c>
      <c r="H96" s="1">
        <v>331.9</v>
      </c>
      <c r="I96" s="1">
        <v>0</v>
      </c>
      <c r="J96" s="10">
        <v>31</v>
      </c>
      <c r="K96" s="10">
        <v>1</v>
      </c>
      <c r="L96" s="163">
        <v>238.2</v>
      </c>
      <c r="M96" s="212">
        <v>351.91199999999998</v>
      </c>
      <c r="N96" s="265">
        <f>$W$18+$W$19*H96+$W$20*I96+$W$21*J96+$W$22*K96+$W$23*L96+$W$24*M96</f>
        <v>105268405.7368037</v>
      </c>
      <c r="O96" s="49">
        <f>N96-G96</f>
        <v>1748940.0320131779</v>
      </c>
      <c r="P96" s="110">
        <f>O96/G96</f>
        <v>1.6894793844866637E-2</v>
      </c>
      <c r="Q96" s="13">
        <f t="shared" si="6"/>
        <v>1.6894793844866637E-2</v>
      </c>
      <c r="R96" s="13"/>
      <c r="S96" s="13"/>
      <c r="T96" s="30"/>
      <c r="U96" s="30"/>
      <c r="V96" s="30"/>
      <c r="W96" s="30"/>
      <c r="X96" s="30"/>
      <c r="Y96" s="30"/>
      <c r="Z96" s="58"/>
    </row>
    <row r="97" spans="1:55">
      <c r="A97" s="50">
        <f t="shared" si="7"/>
        <v>37955</v>
      </c>
      <c r="B97" s="161">
        <v>105671242</v>
      </c>
      <c r="C97" s="174">
        <v>481979.99565000006</v>
      </c>
      <c r="F97" s="161">
        <v>171057.26025251756</v>
      </c>
      <c r="G97" s="10">
        <f t="shared" si="5"/>
        <v>105018204.74409749</v>
      </c>
      <c r="H97" s="1">
        <v>434.4</v>
      </c>
      <c r="I97" s="1">
        <v>0</v>
      </c>
      <c r="J97" s="10">
        <v>30</v>
      </c>
      <c r="K97" s="10">
        <v>1</v>
      </c>
      <c r="L97" s="163">
        <v>240.7</v>
      </c>
      <c r="M97" s="212">
        <v>319.68</v>
      </c>
      <c r="N97" s="265">
        <f>$W$18+$W$19*H97+$W$20*I97+$W$21*J97+$W$22*K97+$W$23*L97+$W$24*M97</f>
        <v>105193882.96015449</v>
      </c>
      <c r="O97" s="49">
        <f>N97-G97</f>
        <v>175678.21605700254</v>
      </c>
      <c r="P97" s="110">
        <f>O97/G97</f>
        <v>1.6728358334165533E-3</v>
      </c>
      <c r="Q97" s="13">
        <f t="shared" si="6"/>
        <v>1.6728358334165533E-3</v>
      </c>
      <c r="R97" s="13"/>
      <c r="S97" s="13"/>
      <c r="T97" s="58"/>
      <c r="U97" s="58"/>
      <c r="V97" s="58"/>
      <c r="W97" s="58"/>
      <c r="X97" s="58"/>
      <c r="Y97" s="58"/>
      <c r="Z97" s="58"/>
    </row>
    <row r="98" spans="1:55">
      <c r="A98" s="50">
        <f t="shared" si="7"/>
        <v>37986</v>
      </c>
      <c r="B98" s="161">
        <v>112870231</v>
      </c>
      <c r="C98" s="174">
        <v>507131.58915000001</v>
      </c>
      <c r="F98" s="161">
        <v>182723.25114236874</v>
      </c>
      <c r="G98" s="10">
        <f t="shared" si="5"/>
        <v>112180376.15970764</v>
      </c>
      <c r="H98" s="1">
        <v>610</v>
      </c>
      <c r="I98" s="1">
        <v>0</v>
      </c>
      <c r="J98" s="10">
        <v>31</v>
      </c>
      <c r="K98" s="10">
        <v>0</v>
      </c>
      <c r="L98" s="163">
        <v>240.4</v>
      </c>
      <c r="M98" s="212">
        <v>336.28800000000001</v>
      </c>
      <c r="N98" s="265">
        <f>$W$18+$W$19*H98+$W$20*I98+$W$21*J98+$W$22*K98+$W$23*L98+$W$24*M98</f>
        <v>114845019.930766</v>
      </c>
      <c r="O98" s="49">
        <f>N98-G98</f>
        <v>2664643.7710583657</v>
      </c>
      <c r="P98" s="110">
        <f>O98/G98</f>
        <v>2.3753207666774061E-2</v>
      </c>
      <c r="Q98" s="13">
        <f t="shared" si="6"/>
        <v>2.3753207666774061E-2</v>
      </c>
      <c r="R98" s="13"/>
      <c r="S98" s="13"/>
      <c r="T98" s="125"/>
      <c r="U98" s="125"/>
      <c r="V98" s="125"/>
      <c r="W98" s="125"/>
      <c r="X98" s="125"/>
      <c r="Y98" s="125"/>
      <c r="Z98" s="125"/>
    </row>
    <row r="99" spans="1:55" s="14" customFormat="1">
      <c r="A99" s="50">
        <f t="shared" si="7"/>
        <v>38017</v>
      </c>
      <c r="B99" s="161">
        <v>123356627</v>
      </c>
      <c r="C99" s="174">
        <v>491162.72670000006</v>
      </c>
      <c r="D99" s="161"/>
      <c r="E99" s="161"/>
      <c r="F99" s="161">
        <v>216043.56339785349</v>
      </c>
      <c r="G99" s="10">
        <f t="shared" si="5"/>
        <v>122649420.70990215</v>
      </c>
      <c r="H99" s="1">
        <v>879.2</v>
      </c>
      <c r="I99" s="1">
        <v>0</v>
      </c>
      <c r="J99" s="10">
        <v>31</v>
      </c>
      <c r="K99" s="10">
        <v>0</v>
      </c>
      <c r="L99" s="163">
        <v>238.2</v>
      </c>
      <c r="M99" s="212">
        <v>336.28800000000001</v>
      </c>
      <c r="N99" s="265">
        <f>$W$18+$W$19*H99+$W$20*I99+$W$21*J99+$W$22*K99+$W$23*L99+$W$24*M99</f>
        <v>121359005.16651975</v>
      </c>
      <c r="O99" s="49">
        <f>N99-G99</f>
        <v>-1290415.5433824062</v>
      </c>
      <c r="P99" s="110">
        <f>O99/G99</f>
        <v>-1.0521171122647006E-2</v>
      </c>
      <c r="Q99" s="13">
        <f t="shared" si="6"/>
        <v>1.0521171122647006E-2</v>
      </c>
      <c r="R99" s="13"/>
      <c r="S99" s="13"/>
      <c r="T99" s="30"/>
      <c r="U99" s="30"/>
      <c r="V99" s="30"/>
      <c r="W99" s="30"/>
      <c r="X99" s="30"/>
      <c r="Y99" s="30"/>
      <c r="Z99" s="30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>
      <c r="A100" s="50">
        <f t="shared" si="7"/>
        <v>38046</v>
      </c>
      <c r="B100" s="161">
        <v>110886761</v>
      </c>
      <c r="C100" s="174">
        <v>454979.43540000002</v>
      </c>
      <c r="F100" s="161">
        <v>194180.48629613317</v>
      </c>
      <c r="G100" s="10">
        <f t="shared" si="5"/>
        <v>110237601.07830387</v>
      </c>
      <c r="H100" s="1">
        <v>699.2</v>
      </c>
      <c r="I100" s="1">
        <v>0</v>
      </c>
      <c r="J100" s="10">
        <v>28</v>
      </c>
      <c r="K100" s="10">
        <v>0</v>
      </c>
      <c r="L100" s="163">
        <v>235.3</v>
      </c>
      <c r="M100" s="212">
        <v>320.16000000000003</v>
      </c>
      <c r="N100" s="265">
        <f>$W$18+$W$19*H100+$W$20*I100+$W$21*J100+$W$22*K100+$W$23*L100+$W$24*M100</f>
        <v>108279745.7348063</v>
      </c>
      <c r="O100" s="49">
        <f>N100-G100</f>
        <v>-1957855.3434975743</v>
      </c>
      <c r="P100" s="110">
        <f>O100/G100</f>
        <v>-1.7760322470251073E-2</v>
      </c>
      <c r="Q100" s="13">
        <f t="shared" si="6"/>
        <v>1.7760322470251073E-2</v>
      </c>
      <c r="R100" s="13"/>
      <c r="S100" s="13"/>
      <c r="T100" s="30"/>
      <c r="U100" s="30"/>
      <c r="V100" s="30"/>
      <c r="W100" s="30"/>
      <c r="X100" s="30"/>
      <c r="Y100" s="30"/>
      <c r="Z100" s="30"/>
    </row>
    <row r="101" spans="1:55">
      <c r="A101" s="50">
        <f t="shared" si="7"/>
        <v>38077</v>
      </c>
      <c r="B101" s="161">
        <v>114371810</v>
      </c>
      <c r="C101" s="174">
        <v>479036.70405</v>
      </c>
      <c r="F101" s="161">
        <v>200266.2077065706</v>
      </c>
      <c r="G101" s="10">
        <f t="shared" si="5"/>
        <v>113692507.08824342</v>
      </c>
      <c r="H101" s="1">
        <v>540.9</v>
      </c>
      <c r="I101" s="1">
        <v>0</v>
      </c>
      <c r="J101" s="10">
        <v>31</v>
      </c>
      <c r="K101" s="10">
        <v>1</v>
      </c>
      <c r="L101" s="163">
        <v>233.9</v>
      </c>
      <c r="M101" s="212">
        <v>368.28</v>
      </c>
      <c r="N101" s="265">
        <f>$W$18+$W$19*H101+$W$20*I101+$W$21*J101+$W$22*K101+$W$23*L101+$W$24*M101</f>
        <v>110256041.87626208</v>
      </c>
      <c r="O101" s="49">
        <f>N101-G101</f>
        <v>-3436465.2119813412</v>
      </c>
      <c r="P101" s="110">
        <f>O101/G101</f>
        <v>-3.0225960355629231E-2</v>
      </c>
      <c r="Q101" s="13">
        <f t="shared" si="6"/>
        <v>3.0225960355629231E-2</v>
      </c>
      <c r="R101" s="13"/>
      <c r="S101" s="13"/>
      <c r="T101" s="30"/>
      <c r="U101" s="30"/>
      <c r="V101" s="30"/>
      <c r="W101" s="30"/>
      <c r="X101" s="30"/>
      <c r="Y101" s="30"/>
      <c r="Z101" s="30"/>
    </row>
    <row r="102" spans="1:55">
      <c r="A102" s="50">
        <f t="shared" si="7"/>
        <v>38107</v>
      </c>
      <c r="B102" s="161">
        <v>100778720</v>
      </c>
      <c r="C102" s="174">
        <v>497337.24060000008</v>
      </c>
      <c r="F102" s="161">
        <v>176332.27857759307</v>
      </c>
      <c r="G102" s="10">
        <f t="shared" si="5"/>
        <v>100105050.4808224</v>
      </c>
      <c r="H102" s="1">
        <v>354.1</v>
      </c>
      <c r="I102" s="1">
        <v>0</v>
      </c>
      <c r="J102" s="10">
        <v>30</v>
      </c>
      <c r="K102" s="10">
        <v>1</v>
      </c>
      <c r="L102" s="163">
        <v>234.4</v>
      </c>
      <c r="M102" s="212">
        <v>336.24</v>
      </c>
      <c r="N102" s="265">
        <f>$W$18+$W$19*H102+$W$20*I102+$W$21*J102+$W$22*K102+$W$23*L102+$W$24*M102</f>
        <v>101270089.59104025</v>
      </c>
      <c r="O102" s="49">
        <f>N102-G102</f>
        <v>1165039.1102178544</v>
      </c>
      <c r="P102" s="110">
        <f>O102/G102</f>
        <v>1.1638165153725651E-2</v>
      </c>
      <c r="Q102" s="13">
        <f t="shared" si="6"/>
        <v>1.1638165153725651E-2</v>
      </c>
      <c r="R102" s="13"/>
      <c r="S102" s="13"/>
      <c r="T102" s="30"/>
      <c r="U102" s="30"/>
      <c r="V102" s="30"/>
      <c r="W102" s="30"/>
      <c r="X102" s="30"/>
      <c r="Y102" s="30"/>
      <c r="Z102" s="30"/>
    </row>
    <row r="103" spans="1:55">
      <c r="A103" s="50">
        <f t="shared" si="7"/>
        <v>38138</v>
      </c>
      <c r="B103" s="161">
        <v>99917690</v>
      </c>
      <c r="C103" s="174">
        <v>502450.36290000001</v>
      </c>
      <c r="F103" s="161">
        <v>174809.27414619323</v>
      </c>
      <c r="G103" s="10">
        <f t="shared" si="5"/>
        <v>99240430.362953797</v>
      </c>
      <c r="H103" s="1">
        <v>196.2</v>
      </c>
      <c r="I103" s="1">
        <v>6.7</v>
      </c>
      <c r="J103" s="10">
        <v>31</v>
      </c>
      <c r="K103" s="10">
        <v>1</v>
      </c>
      <c r="L103" s="163">
        <v>235.2</v>
      </c>
      <c r="M103" s="212">
        <v>319.92</v>
      </c>
      <c r="N103" s="265">
        <f>$W$18+$W$19*H103+$W$20*I103+$W$21*J103+$W$22*K103+$W$23*L103+$W$24*M103</f>
        <v>99285385.48907733</v>
      </c>
      <c r="O103" s="49">
        <f>N103-G103</f>
        <v>44955.126123532653</v>
      </c>
      <c r="P103" s="110">
        <f>O103/G103</f>
        <v>4.5299205131535067E-4</v>
      </c>
      <c r="Q103" s="13">
        <f t="shared" si="6"/>
        <v>4.5299205131535067E-4</v>
      </c>
      <c r="R103" s="13"/>
      <c r="S103" s="13"/>
      <c r="T103" s="30"/>
      <c r="U103" s="30"/>
      <c r="V103" s="30"/>
      <c r="W103" s="30"/>
      <c r="X103" s="30"/>
      <c r="Y103" s="30"/>
      <c r="Z103" s="30"/>
    </row>
    <row r="104" spans="1:55">
      <c r="A104" s="50">
        <f t="shared" si="7"/>
        <v>38168</v>
      </c>
      <c r="B104" s="161">
        <v>101500696</v>
      </c>
      <c r="C104" s="174">
        <v>522270.53370000009</v>
      </c>
      <c r="F104" s="161">
        <v>177557.94106240806</v>
      </c>
      <c r="G104" s="10">
        <f t="shared" si="5"/>
        <v>100800867.52523759</v>
      </c>
      <c r="H104" s="1">
        <v>92.5</v>
      </c>
      <c r="I104" s="1">
        <v>16.3</v>
      </c>
      <c r="J104" s="10">
        <v>30</v>
      </c>
      <c r="K104" s="10">
        <v>0</v>
      </c>
      <c r="L104" s="163">
        <v>239.4</v>
      </c>
      <c r="M104" s="212">
        <v>352.08</v>
      </c>
      <c r="N104" s="265">
        <f>$W$18+$W$19*H104+$W$20*I104+$W$21*J104+$W$22*K104+$W$23*L104+$W$24*M104</f>
        <v>102079971.91487339</v>
      </c>
      <c r="O104" s="49">
        <f>N104-G104</f>
        <v>1279104.3896358013</v>
      </c>
      <c r="P104" s="110">
        <f>O104/G104</f>
        <v>1.2689418464732469E-2</v>
      </c>
      <c r="Q104" s="13">
        <f t="shared" si="6"/>
        <v>1.2689418464732469E-2</v>
      </c>
      <c r="R104" s="13"/>
      <c r="S104" s="13"/>
      <c r="T104" s="30"/>
      <c r="U104" s="30"/>
      <c r="V104" s="30"/>
      <c r="W104" s="30"/>
      <c r="X104" s="30"/>
      <c r="Y104" s="30"/>
      <c r="Z104" s="30"/>
    </row>
    <row r="105" spans="1:55">
      <c r="A105" s="50">
        <f t="shared" si="7"/>
        <v>38199</v>
      </c>
      <c r="B105" s="161">
        <v>106988465</v>
      </c>
      <c r="C105" s="174">
        <v>546336.2709</v>
      </c>
      <c r="F105" s="161">
        <v>187165.18040525657</v>
      </c>
      <c r="G105" s="10">
        <f t="shared" si="5"/>
        <v>106254963.54869474</v>
      </c>
      <c r="H105" s="1">
        <v>21.3</v>
      </c>
      <c r="I105" s="1">
        <v>49.3</v>
      </c>
      <c r="J105" s="10">
        <v>31</v>
      </c>
      <c r="K105" s="10">
        <v>0</v>
      </c>
      <c r="L105" s="163">
        <v>242.5</v>
      </c>
      <c r="M105" s="212">
        <v>336.28800000000001</v>
      </c>
      <c r="N105" s="265">
        <f>$W$18+$W$19*H105+$W$20*I105+$W$21*J105+$W$22*K105+$W$23*L105+$W$24*M105</f>
        <v>108298132.48250146</v>
      </c>
      <c r="O105" s="49">
        <f>N105-G105</f>
        <v>2043168.9338067174</v>
      </c>
      <c r="P105" s="110">
        <f>O105/G105</f>
        <v>1.9228926965565891E-2</v>
      </c>
      <c r="Q105" s="13">
        <f t="shared" si="6"/>
        <v>1.9228926965565891E-2</v>
      </c>
      <c r="R105" s="13"/>
      <c r="S105" s="13"/>
      <c r="T105" s="30"/>
      <c r="U105" s="30"/>
      <c r="V105" s="30"/>
      <c r="W105" s="30"/>
      <c r="X105" s="30"/>
      <c r="Y105" s="30"/>
      <c r="Z105" s="30"/>
    </row>
    <row r="106" spans="1:55">
      <c r="A106" s="50">
        <f t="shared" si="7"/>
        <v>38230</v>
      </c>
      <c r="B106" s="161">
        <v>105697735</v>
      </c>
      <c r="C106" s="174">
        <v>523277.35020000004</v>
      </c>
      <c r="F106" s="161">
        <v>184936.13924378599</v>
      </c>
      <c r="G106" s="10">
        <f t="shared" si="5"/>
        <v>104989521.51055622</v>
      </c>
      <c r="H106" s="1">
        <v>55</v>
      </c>
      <c r="I106" s="1">
        <v>30.6</v>
      </c>
      <c r="J106" s="10">
        <v>31</v>
      </c>
      <c r="K106" s="10">
        <v>0</v>
      </c>
      <c r="L106" s="163">
        <v>243.7</v>
      </c>
      <c r="M106" s="212">
        <v>336.28800000000001</v>
      </c>
      <c r="N106" s="265">
        <f>$W$18+$W$19*H106+$W$20*I106+$W$21*J106+$W$22*K106+$W$23*L106+$W$24*M106</f>
        <v>106390633.72776856</v>
      </c>
      <c r="O106" s="49">
        <f>N106-G106</f>
        <v>1401112.2172123343</v>
      </c>
      <c r="P106" s="110">
        <f>O106/G106</f>
        <v>1.334525767003766E-2</v>
      </c>
      <c r="Q106" s="13">
        <f t="shared" si="6"/>
        <v>1.334525767003766E-2</v>
      </c>
      <c r="R106" s="13"/>
      <c r="S106" s="13"/>
      <c r="T106" s="30"/>
      <c r="U106" s="30"/>
      <c r="V106" s="30"/>
      <c r="W106" s="30"/>
      <c r="X106" s="30"/>
      <c r="Y106" s="30"/>
      <c r="Z106" s="30"/>
    </row>
    <row r="107" spans="1:55">
      <c r="A107" s="50">
        <f t="shared" si="7"/>
        <v>38260</v>
      </c>
      <c r="B107" s="161">
        <v>105959836</v>
      </c>
      <c r="C107" s="174">
        <v>531322.47270000004</v>
      </c>
      <c r="F107" s="161">
        <v>185382.86475287762</v>
      </c>
      <c r="G107" s="10">
        <f t="shared" si="5"/>
        <v>105243130.66254713</v>
      </c>
      <c r="H107" s="1">
        <v>71.3</v>
      </c>
      <c r="I107" s="1">
        <v>13.7</v>
      </c>
      <c r="J107" s="10">
        <v>30</v>
      </c>
      <c r="K107" s="10">
        <v>1</v>
      </c>
      <c r="L107" s="163">
        <v>241.4</v>
      </c>
      <c r="M107" s="212">
        <v>336.24</v>
      </c>
      <c r="N107" s="265">
        <f>$W$18+$W$19*H107+$W$20*I107+$W$21*J107+$W$22*K107+$W$23*L107+$W$24*M107</f>
        <v>98965079.924818486</v>
      </c>
      <c r="O107" s="49">
        <f>N107-G107</f>
        <v>-6278050.7377286404</v>
      </c>
      <c r="P107" s="110">
        <f>O107/G107</f>
        <v>-5.9652831478936706E-2</v>
      </c>
      <c r="Q107" s="13">
        <f t="shared" si="6"/>
        <v>5.9652831478936706E-2</v>
      </c>
      <c r="R107" s="13"/>
      <c r="S107" s="13"/>
      <c r="T107" s="30"/>
      <c r="U107" s="30"/>
      <c r="V107" s="30"/>
      <c r="W107" s="30"/>
      <c r="X107" s="30"/>
      <c r="Y107" s="30"/>
      <c r="Z107" s="30"/>
    </row>
    <row r="108" spans="1:55">
      <c r="A108" s="50">
        <f t="shared" si="7"/>
        <v>38291</v>
      </c>
      <c r="B108" s="161">
        <v>104738230</v>
      </c>
      <c r="C108" s="174">
        <v>546993.99495000008</v>
      </c>
      <c r="F108" s="161">
        <v>183207.26686294196</v>
      </c>
      <c r="G108" s="10">
        <f t="shared" si="5"/>
        <v>104008028.73818706</v>
      </c>
      <c r="H108" s="1">
        <v>287.5</v>
      </c>
      <c r="I108" s="1">
        <v>0</v>
      </c>
      <c r="J108" s="10">
        <v>31</v>
      </c>
      <c r="K108" s="10">
        <v>1</v>
      </c>
      <c r="L108" s="163">
        <v>240.7</v>
      </c>
      <c r="M108" s="212">
        <v>319.92</v>
      </c>
      <c r="N108" s="265">
        <f>$W$18+$W$19*H108+$W$20*I108+$W$21*J108+$W$22*K108+$W$23*L108+$W$24*M108</f>
        <v>103039154.54510164</v>
      </c>
      <c r="O108" s="49">
        <f>N108-G108</f>
        <v>-968874.19308541715</v>
      </c>
      <c r="P108" s="110">
        <f>O108/G108</f>
        <v>-9.3153788687246816E-3</v>
      </c>
      <c r="Q108" s="13">
        <f t="shared" si="6"/>
        <v>9.3153788687246816E-3</v>
      </c>
      <c r="R108" s="13"/>
      <c r="S108" s="13"/>
    </row>
    <row r="109" spans="1:55">
      <c r="A109" s="50">
        <f t="shared" si="7"/>
        <v>38321</v>
      </c>
      <c r="B109" s="161">
        <v>109633798</v>
      </c>
      <c r="C109" s="174">
        <v>550187.57925000007</v>
      </c>
      <c r="F109" s="161">
        <v>191809.89583191913</v>
      </c>
      <c r="G109" s="10">
        <f t="shared" si="5"/>
        <v>108891800.52491809</v>
      </c>
      <c r="H109" s="1">
        <v>432.9</v>
      </c>
      <c r="I109" s="1">
        <v>0</v>
      </c>
      <c r="J109" s="10">
        <v>30</v>
      </c>
      <c r="K109" s="10">
        <v>1</v>
      </c>
      <c r="L109" s="163">
        <v>241.4</v>
      </c>
      <c r="M109" s="212">
        <v>352.08</v>
      </c>
      <c r="N109" s="265">
        <f>$W$18+$W$19*H109+$W$20*I109+$W$21*J109+$W$22*K109+$W$23*L109+$W$24*M109</f>
        <v>107584347.24000382</v>
      </c>
      <c r="O109" s="49">
        <f>N109-G109</f>
        <v>-1307453.28491427</v>
      </c>
      <c r="P109" s="110">
        <f>O109/G109</f>
        <v>-1.2006902986373899E-2</v>
      </c>
      <c r="Q109" s="13">
        <f t="shared" si="6"/>
        <v>1.2006902986373899E-2</v>
      </c>
      <c r="R109" s="13"/>
      <c r="S109" s="13"/>
    </row>
    <row r="110" spans="1:55" s="29" customFormat="1">
      <c r="A110" s="50">
        <f t="shared" si="7"/>
        <v>38352</v>
      </c>
      <c r="B110" s="161">
        <v>118965070</v>
      </c>
      <c r="C110" s="174">
        <v>559781.50545000006</v>
      </c>
      <c r="D110" s="161"/>
      <c r="E110" s="161"/>
      <c r="F110" s="161">
        <v>208200.9017164672</v>
      </c>
      <c r="G110" s="10">
        <f t="shared" si="5"/>
        <v>118197087.59283353</v>
      </c>
      <c r="H110" s="1">
        <v>700.1</v>
      </c>
      <c r="I110" s="1">
        <v>0</v>
      </c>
      <c r="J110" s="10">
        <v>31</v>
      </c>
      <c r="K110" s="10">
        <v>0</v>
      </c>
      <c r="L110" s="163">
        <v>244.7</v>
      </c>
      <c r="M110" s="212">
        <v>336.28800000000001</v>
      </c>
      <c r="N110" s="265">
        <f>$W$18+$W$19*H110+$W$20*I110+$W$21*J110+$W$22*K110+$W$23*L110+$W$24*M110</f>
        <v>119245107.81840332</v>
      </c>
      <c r="O110" s="49">
        <f>N110-G110</f>
        <v>1048020.2255697846</v>
      </c>
      <c r="P110" s="110">
        <f>O110/G110</f>
        <v>8.8667178431672943E-3</v>
      </c>
      <c r="Q110" s="13">
        <f t="shared" si="6"/>
        <v>8.8667178431672943E-3</v>
      </c>
      <c r="R110" s="13"/>
      <c r="S110" s="13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55">
      <c r="A111" s="50">
        <f t="shared" si="7"/>
        <v>38383</v>
      </c>
      <c r="B111" s="161">
        <v>125529169</v>
      </c>
      <c r="C111" s="174">
        <v>560016.7429500001</v>
      </c>
      <c r="F111" s="161">
        <v>169526.82851870151</v>
      </c>
      <c r="G111" s="10">
        <f t="shared" si="5"/>
        <v>124799625.42853129</v>
      </c>
      <c r="H111" s="1">
        <v>814.7</v>
      </c>
      <c r="I111" s="1">
        <v>0</v>
      </c>
      <c r="J111" s="10">
        <v>31</v>
      </c>
      <c r="K111" s="10">
        <v>0</v>
      </c>
      <c r="L111" s="163">
        <v>246.4</v>
      </c>
      <c r="M111" s="212">
        <v>319.92</v>
      </c>
      <c r="N111" s="265">
        <f>$W$18+$W$19*H111+$W$20*I111+$W$21*J111+$W$22*K111+$W$23*L111+$W$24*M111</f>
        <v>122107452.80554804</v>
      </c>
      <c r="O111" s="49">
        <f>N111-G111</f>
        <v>-2692172.622983247</v>
      </c>
      <c r="P111" s="110">
        <f>O111/G111</f>
        <v>-2.1571960763015006E-2</v>
      </c>
      <c r="Q111" s="13">
        <f t="shared" si="6"/>
        <v>2.1571960763015006E-2</v>
      </c>
      <c r="R111" s="13"/>
      <c r="S111" s="13"/>
    </row>
    <row r="112" spans="1:55">
      <c r="A112" s="50">
        <f t="shared" si="7"/>
        <v>38411</v>
      </c>
      <c r="B112" s="161">
        <v>110018389</v>
      </c>
      <c r="C112" s="174">
        <v>494481.45735000004</v>
      </c>
      <c r="D112" s="161">
        <v>1891</v>
      </c>
      <c r="F112" s="161">
        <v>148574.59106780085</v>
      </c>
      <c r="G112" s="10">
        <f t="shared" si="5"/>
        <v>109377223.95158219</v>
      </c>
      <c r="H112" s="1">
        <v>683.5</v>
      </c>
      <c r="I112" s="1">
        <v>0</v>
      </c>
      <c r="J112" s="10">
        <v>28</v>
      </c>
      <c r="K112" s="10">
        <v>0</v>
      </c>
      <c r="L112" s="163">
        <v>248</v>
      </c>
      <c r="M112" s="212">
        <v>319.87200000000001</v>
      </c>
      <c r="N112" s="265">
        <f>$W$18+$W$19*H112+$W$20*I112+$W$21*J112+$W$22*K112+$W$23*L112+$W$24*M112</f>
        <v>113422252.51572224</v>
      </c>
      <c r="O112" s="49">
        <f>N112-G112</f>
        <v>4045028.5641400516</v>
      </c>
      <c r="P112" s="110">
        <f>O112/G112</f>
        <v>3.6982366328209761E-2</v>
      </c>
      <c r="Q112" s="13">
        <f t="shared" si="6"/>
        <v>3.6982366328209761E-2</v>
      </c>
      <c r="R112" s="13"/>
      <c r="S112" s="13"/>
    </row>
    <row r="113" spans="1:20">
      <c r="A113" s="50">
        <f t="shared" si="7"/>
        <v>38442</v>
      </c>
      <c r="B113" s="161">
        <v>117480987</v>
      </c>
      <c r="C113" s="174">
        <v>561214.5723</v>
      </c>
      <c r="D113" s="161">
        <v>993</v>
      </c>
      <c r="F113" s="161">
        <v>158607.44714044521</v>
      </c>
      <c r="G113" s="10">
        <f t="shared" si="5"/>
        <v>116762157.98055956</v>
      </c>
      <c r="H113" s="1">
        <v>680.5</v>
      </c>
      <c r="I113" s="1">
        <v>0</v>
      </c>
      <c r="J113" s="10">
        <v>31</v>
      </c>
      <c r="K113" s="10">
        <v>1</v>
      </c>
      <c r="L113" s="163">
        <v>249.3</v>
      </c>
      <c r="M113" s="212">
        <v>351.91199999999998</v>
      </c>
      <c r="N113" s="265">
        <f>$W$18+$W$19*H113+$W$20*I113+$W$21*J113+$W$22*K113+$W$23*L113+$W$24*M113</f>
        <v>119851994.39879474</v>
      </c>
      <c r="O113" s="49">
        <f>N113-G113</f>
        <v>3089836.4182351828</v>
      </c>
      <c r="P113" s="110">
        <f>O113/G113</f>
        <v>2.6462652555202245E-2</v>
      </c>
      <c r="Q113" s="13">
        <f t="shared" si="6"/>
        <v>2.6462652555202245E-2</v>
      </c>
      <c r="R113" s="13"/>
      <c r="S113" s="13"/>
    </row>
    <row r="114" spans="1:20">
      <c r="A114" s="50">
        <f t="shared" si="7"/>
        <v>38472</v>
      </c>
      <c r="B114" s="161">
        <v>102655932</v>
      </c>
      <c r="C114" s="174">
        <v>533776.47030000004</v>
      </c>
      <c r="D114" s="161">
        <v>611</v>
      </c>
      <c r="F114" s="161">
        <v>138533.7488153358</v>
      </c>
      <c r="G114" s="10">
        <f t="shared" si="5"/>
        <v>101984232.78088465</v>
      </c>
      <c r="H114" s="1">
        <v>354.6</v>
      </c>
      <c r="I114" s="1">
        <v>0</v>
      </c>
      <c r="J114" s="10">
        <v>30</v>
      </c>
      <c r="K114" s="10">
        <v>1</v>
      </c>
      <c r="L114" s="163">
        <v>251.4</v>
      </c>
      <c r="M114" s="212">
        <v>336.24</v>
      </c>
      <c r="N114" s="265">
        <f>$W$18+$W$19*H114+$W$20*I114+$W$21*J114+$W$22*K114+$W$23*L114+$W$24*M114</f>
        <v>108777160.19859663</v>
      </c>
      <c r="O114" s="49">
        <f>N114-G114</f>
        <v>6792927.4177119732</v>
      </c>
      <c r="P114" s="110">
        <f>O114/G114</f>
        <v>6.6607623869728239E-2</v>
      </c>
      <c r="Q114" s="13">
        <f t="shared" si="6"/>
        <v>6.6607623869728239E-2</v>
      </c>
      <c r="R114" s="13"/>
      <c r="S114" s="13"/>
    </row>
    <row r="115" spans="1:20">
      <c r="A115" s="50">
        <f t="shared" si="7"/>
        <v>38503</v>
      </c>
      <c r="B115" s="161">
        <v>101003739</v>
      </c>
      <c r="C115" s="174">
        <v>540498.61710000003</v>
      </c>
      <c r="D115" s="161">
        <v>1260</v>
      </c>
      <c r="F115" s="161">
        <v>136283.34846821512</v>
      </c>
      <c r="G115" s="10">
        <f t="shared" si="5"/>
        <v>100328217.03443179</v>
      </c>
      <c r="H115" s="1">
        <v>244.9</v>
      </c>
      <c r="I115" s="1">
        <v>0</v>
      </c>
      <c r="J115" s="10">
        <v>31</v>
      </c>
      <c r="K115" s="10">
        <v>1</v>
      </c>
      <c r="L115" s="163">
        <v>255.4</v>
      </c>
      <c r="M115" s="212">
        <v>336.28800000000001</v>
      </c>
      <c r="N115" s="265">
        <f>$W$18+$W$19*H115+$W$20*I115+$W$21*J115+$W$22*K115+$W$23*L115+$W$24*M115</f>
        <v>109407096.63993508</v>
      </c>
      <c r="O115" s="49">
        <f>N115-G115</f>
        <v>9078879.6055032909</v>
      </c>
      <c r="P115" s="110">
        <f>O115/G115</f>
        <v>9.0491786596661003E-2</v>
      </c>
      <c r="Q115" s="13">
        <f t="shared" si="6"/>
        <v>9.0491786596661003E-2</v>
      </c>
      <c r="R115" s="13"/>
      <c r="S115" s="13"/>
    </row>
    <row r="116" spans="1:20">
      <c r="A116" s="50">
        <f t="shared" si="7"/>
        <v>38533</v>
      </c>
      <c r="B116" s="161">
        <v>120806868</v>
      </c>
      <c r="C116" s="174">
        <v>529090.53930000006</v>
      </c>
      <c r="D116" s="161">
        <v>1538</v>
      </c>
      <c r="F116" s="161">
        <v>163162.74685331664</v>
      </c>
      <c r="G116" s="10">
        <f t="shared" si="5"/>
        <v>120116152.71384668</v>
      </c>
      <c r="H116" s="1">
        <v>27.3</v>
      </c>
      <c r="I116" s="1">
        <v>104.8</v>
      </c>
      <c r="J116" s="10">
        <v>30</v>
      </c>
      <c r="K116" s="10">
        <v>0</v>
      </c>
      <c r="L116" s="163">
        <v>258.8</v>
      </c>
      <c r="M116" s="212">
        <v>352.08</v>
      </c>
      <c r="N116" s="265">
        <f>$W$18+$W$19*H116+$W$20*I116+$W$21*J116+$W$22*K116+$W$23*L116+$W$24*M116</f>
        <v>124782910.9077546</v>
      </c>
      <c r="O116" s="49">
        <f>N116-G116</f>
        <v>4666758.1939079165</v>
      </c>
      <c r="P116" s="110">
        <f>O116/G116</f>
        <v>3.8852045195166697E-2</v>
      </c>
      <c r="Q116" s="13">
        <f t="shared" si="6"/>
        <v>3.8852045195166697E-2</v>
      </c>
      <c r="R116" s="13"/>
      <c r="S116" s="13"/>
    </row>
    <row r="117" spans="1:20">
      <c r="A117" s="50">
        <f t="shared" si="7"/>
        <v>38564</v>
      </c>
      <c r="B117" s="161">
        <v>121659153</v>
      </c>
      <c r="C117" s="174">
        <v>513321.15825000004</v>
      </c>
      <c r="D117" s="161">
        <v>846</v>
      </c>
      <c r="F117" s="161">
        <v>164340.30550313831</v>
      </c>
      <c r="G117" s="10">
        <f t="shared" si="5"/>
        <v>120982337.53624685</v>
      </c>
      <c r="H117" s="1">
        <v>6.8</v>
      </c>
      <c r="I117" s="1">
        <v>105.4</v>
      </c>
      <c r="J117" s="10">
        <v>31</v>
      </c>
      <c r="K117" s="10">
        <v>0</v>
      </c>
      <c r="L117" s="163">
        <v>257.89999999999998</v>
      </c>
      <c r="M117" s="212">
        <v>319.92</v>
      </c>
      <c r="N117" s="265">
        <f>$W$18+$W$19*H117+$W$20*I117+$W$21*J117+$W$22*K117+$W$23*L117+$W$24*M117</f>
        <v>123729984.21047047</v>
      </c>
      <c r="O117" s="49">
        <f>N117-G117</f>
        <v>2747646.6742236167</v>
      </c>
      <c r="P117" s="110">
        <f>O117/G117</f>
        <v>2.2711138916458855E-2</v>
      </c>
      <c r="Q117" s="13">
        <f t="shared" si="6"/>
        <v>2.2711138916458855E-2</v>
      </c>
      <c r="R117" s="13"/>
      <c r="S117" s="13"/>
    </row>
    <row r="118" spans="1:20">
      <c r="A118" s="50">
        <f t="shared" si="7"/>
        <v>38595</v>
      </c>
      <c r="B118" s="161">
        <v>118714206</v>
      </c>
      <c r="C118" s="174">
        <v>531068.41620000009</v>
      </c>
      <c r="D118" s="161">
        <v>976</v>
      </c>
      <c r="F118" s="161">
        <v>160321.26438499312</v>
      </c>
      <c r="G118" s="10">
        <f t="shared" si="5"/>
        <v>118023792.319415</v>
      </c>
      <c r="H118" s="1">
        <v>11.9</v>
      </c>
      <c r="I118" s="1">
        <v>67.900000000000006</v>
      </c>
      <c r="J118" s="10">
        <v>31</v>
      </c>
      <c r="K118" s="10">
        <v>0</v>
      </c>
      <c r="L118" s="163">
        <v>256.5</v>
      </c>
      <c r="M118" s="212">
        <v>351.91199999999998</v>
      </c>
      <c r="N118" s="265">
        <f>$W$18+$W$19*H118+$W$20*I118+$W$21*J118+$W$22*K118+$W$23*L118+$W$24*M118</f>
        <v>118586959.66032824</v>
      </c>
      <c r="O118" s="49">
        <f>N118-G118</f>
        <v>563167.34091323614</v>
      </c>
      <c r="P118" s="110">
        <f>O118/G118</f>
        <v>4.7716424785699306E-3</v>
      </c>
      <c r="Q118" s="13">
        <f t="shared" si="6"/>
        <v>4.7716424785699306E-3</v>
      </c>
      <c r="R118" s="13"/>
      <c r="S118" s="13"/>
    </row>
    <row r="119" spans="1:20">
      <c r="A119" s="50">
        <f t="shared" si="7"/>
        <v>38625</v>
      </c>
      <c r="B119" s="161">
        <v>107398525</v>
      </c>
      <c r="C119" s="174">
        <v>513110.38545000006</v>
      </c>
      <c r="D119" s="161">
        <v>1756</v>
      </c>
      <c r="F119" s="161">
        <v>144995.34506915818</v>
      </c>
      <c r="G119" s="10">
        <f t="shared" si="5"/>
        <v>106742175.26948084</v>
      </c>
      <c r="H119" s="1">
        <v>63.4</v>
      </c>
      <c r="I119" s="1">
        <v>13.7</v>
      </c>
      <c r="J119" s="10">
        <v>30</v>
      </c>
      <c r="K119" s="10">
        <v>1</v>
      </c>
      <c r="L119" s="163">
        <v>253.6</v>
      </c>
      <c r="M119" s="212">
        <v>336.24</v>
      </c>
      <c r="N119" s="265">
        <f>$W$18+$W$19*H119+$W$20*I119+$W$21*J119+$W$22*K119+$W$23*L119+$W$24*M119</f>
        <v>104122913.92982161</v>
      </c>
      <c r="O119" s="49">
        <f>N119-G119</f>
        <v>-2619261.3396592289</v>
      </c>
      <c r="P119" s="110">
        <f>O119/G119</f>
        <v>-2.4538204632298836E-2</v>
      </c>
      <c r="Q119" s="13">
        <f t="shared" si="6"/>
        <v>2.4538204632298836E-2</v>
      </c>
      <c r="R119" s="13"/>
      <c r="S119" s="13"/>
    </row>
    <row r="120" spans="1:20">
      <c r="A120" s="50">
        <f t="shared" si="7"/>
        <v>38656</v>
      </c>
      <c r="B120" s="161">
        <v>108114071</v>
      </c>
      <c r="C120" s="174">
        <v>569068.68195000011</v>
      </c>
      <c r="D120" s="161">
        <v>2427</v>
      </c>
      <c r="F120" s="161">
        <v>145890.10837261958</v>
      </c>
      <c r="G120" s="10">
        <f t="shared" si="5"/>
        <v>107401539.20967738</v>
      </c>
      <c r="H120" s="1">
        <v>259.89999999999998</v>
      </c>
      <c r="I120" s="1">
        <v>2.6</v>
      </c>
      <c r="J120" s="10">
        <v>31</v>
      </c>
      <c r="K120" s="10">
        <v>1</v>
      </c>
      <c r="L120" s="163">
        <v>253.8</v>
      </c>
      <c r="M120" s="212">
        <v>319.92</v>
      </c>
      <c r="N120" s="265">
        <f>$W$18+$W$19*H120+$W$20*I120+$W$21*J120+$W$22*K120+$W$23*L120+$W$24*M120</f>
        <v>108515043.11421189</v>
      </c>
      <c r="O120" s="49">
        <f>N120-G120</f>
        <v>1113503.9045345038</v>
      </c>
      <c r="P120" s="110">
        <f>O120/G120</f>
        <v>1.0367671755249592E-2</v>
      </c>
      <c r="Q120" s="13">
        <f t="shared" si="6"/>
        <v>1.0367671755249592E-2</v>
      </c>
      <c r="R120" s="13"/>
      <c r="S120" s="13"/>
    </row>
    <row r="121" spans="1:20">
      <c r="A121" s="50">
        <f t="shared" si="7"/>
        <v>38686</v>
      </c>
      <c r="B121" s="161">
        <v>112273619</v>
      </c>
      <c r="C121" s="174">
        <v>544497.65460000001</v>
      </c>
      <c r="D121" s="161">
        <v>536</v>
      </c>
      <c r="F121" s="161">
        <v>151566.07252889709</v>
      </c>
      <c r="G121" s="10">
        <f t="shared" si="5"/>
        <v>111578091.27287111</v>
      </c>
      <c r="H121" s="1">
        <v>433.1</v>
      </c>
      <c r="I121" s="1">
        <v>0</v>
      </c>
      <c r="J121" s="10">
        <v>30</v>
      </c>
      <c r="K121" s="10">
        <v>1</v>
      </c>
      <c r="L121" s="163">
        <v>251.9</v>
      </c>
      <c r="M121" s="212">
        <v>352.08</v>
      </c>
      <c r="N121" s="265">
        <f>$W$18+$W$19*H121+$W$20*I121+$W$21*J121+$W$22*K121+$W$23*L121+$W$24*M121</f>
        <v>112218042.05544895</v>
      </c>
      <c r="O121" s="49">
        <f>N121-G121</f>
        <v>639950.78257784247</v>
      </c>
      <c r="P121" s="110">
        <f>O121/G121</f>
        <v>5.7354519626330886E-3</v>
      </c>
      <c r="Q121" s="13">
        <f t="shared" si="6"/>
        <v>5.7354519626330886E-3</v>
      </c>
      <c r="R121" s="13"/>
      <c r="S121" s="13"/>
    </row>
    <row r="122" spans="1:20">
      <c r="A122" s="50">
        <f t="shared" si="7"/>
        <v>38717</v>
      </c>
      <c r="B122" s="161">
        <v>121150930</v>
      </c>
      <c r="C122" s="174">
        <v>531516.30839999998</v>
      </c>
      <c r="D122" s="161">
        <v>5480</v>
      </c>
      <c r="F122" s="161">
        <v>163626.19327737839</v>
      </c>
      <c r="G122" s="10">
        <f t="shared" si="5"/>
        <v>120461267.49832262</v>
      </c>
      <c r="H122" s="1">
        <v>721.6</v>
      </c>
      <c r="I122" s="1">
        <v>0</v>
      </c>
      <c r="J122" s="16">
        <v>31</v>
      </c>
      <c r="K122" s="16">
        <v>0</v>
      </c>
      <c r="L122" s="163">
        <v>253</v>
      </c>
      <c r="M122" s="212">
        <v>319.92</v>
      </c>
      <c r="N122" s="265">
        <f>$W$18+$W$19*H122+$W$20*I122+$W$21*J122+$W$22*K122+$W$23*L122+$W$24*M122</f>
        <v>122428410.46892595</v>
      </c>
      <c r="O122" s="49">
        <f>N122-G122</f>
        <v>1967142.9706033319</v>
      </c>
      <c r="P122" s="110">
        <f>O122/G122</f>
        <v>1.6330086935460179E-2</v>
      </c>
      <c r="Q122" s="13">
        <f t="shared" si="6"/>
        <v>1.6330086935460179E-2</v>
      </c>
      <c r="R122" s="13"/>
      <c r="S122" s="13"/>
      <c r="T122" s="53"/>
    </row>
    <row r="123" spans="1:20">
      <c r="A123" s="50">
        <f>EOMONTH(A122,1)</f>
        <v>38748</v>
      </c>
      <c r="B123" s="161">
        <v>120719775</v>
      </c>
      <c r="C123" s="174">
        <v>495201.28410000005</v>
      </c>
      <c r="D123" s="161">
        <v>3630</v>
      </c>
      <c r="F123" s="161">
        <v>196929.25153642692</v>
      </c>
      <c r="G123" s="10">
        <f t="shared" si="5"/>
        <v>120031274.46436357</v>
      </c>
      <c r="H123" s="1">
        <v>590.6</v>
      </c>
      <c r="I123" s="1">
        <v>0</v>
      </c>
      <c r="J123" s="10">
        <v>31</v>
      </c>
      <c r="K123" s="10">
        <v>0</v>
      </c>
      <c r="L123" s="163">
        <v>254.1</v>
      </c>
      <c r="M123" s="212">
        <v>336.28800000000001</v>
      </c>
      <c r="N123" s="265">
        <f>$W$18+$W$19*H123+$W$20*I123+$W$21*J123+$W$22*K123+$W$23*L123+$W$24*M123</f>
        <v>120344319.06355576</v>
      </c>
      <c r="O123" s="49">
        <f>N123-G123</f>
        <v>313044.59919218719</v>
      </c>
      <c r="P123" s="110">
        <f>O123/G123</f>
        <v>2.6080252883187364E-3</v>
      </c>
      <c r="Q123" s="13">
        <f t="shared" si="6"/>
        <v>2.6080252883187364E-3</v>
      </c>
      <c r="R123" s="13"/>
      <c r="S123" s="13"/>
      <c r="T123" s="53"/>
    </row>
    <row r="124" spans="1:20">
      <c r="A124" s="50">
        <f t="shared" si="7"/>
        <v>38776</v>
      </c>
      <c r="B124" s="161">
        <v>111241852</v>
      </c>
      <c r="C124" s="174">
        <v>462157.00200000004</v>
      </c>
      <c r="D124" s="161">
        <v>4968</v>
      </c>
      <c r="F124" s="161">
        <v>181458.43022859978</v>
      </c>
      <c r="G124" s="10">
        <f t="shared" si="5"/>
        <v>110603204.56777139</v>
      </c>
      <c r="H124" s="1">
        <v>651.20000000000005</v>
      </c>
      <c r="I124" s="1">
        <v>0</v>
      </c>
      <c r="J124" s="10">
        <v>28</v>
      </c>
      <c r="K124" s="10">
        <v>0</v>
      </c>
      <c r="L124" s="163">
        <v>254.6</v>
      </c>
      <c r="M124" s="212">
        <v>319.87200000000001</v>
      </c>
      <c r="N124" s="265">
        <f>$W$18+$W$19*H124+$W$20*I124+$W$21*J124+$W$22*K124+$W$23*L124+$W$24*M124</f>
        <v>115433434.2979733</v>
      </c>
      <c r="O124" s="49">
        <f>N124-G124</f>
        <v>4830229.7302019149</v>
      </c>
      <c r="P124" s="110">
        <f>O124/G124</f>
        <v>4.3671697841649995E-2</v>
      </c>
      <c r="Q124" s="13">
        <f t="shared" si="6"/>
        <v>4.3671697841649995E-2</v>
      </c>
      <c r="R124" s="13"/>
      <c r="S124" s="13"/>
      <c r="T124" s="53"/>
    </row>
    <row r="125" spans="1:20">
      <c r="A125" s="50">
        <f t="shared" si="7"/>
        <v>38807</v>
      </c>
      <c r="B125" s="161">
        <v>118804708</v>
      </c>
      <c r="C125" s="174">
        <v>502980.11775000003</v>
      </c>
      <c r="D125" s="161">
        <v>3065</v>
      </c>
      <c r="F125" s="161">
        <v>193779.60767297313</v>
      </c>
      <c r="G125" s="10">
        <f t="shared" si="5"/>
        <v>118111013.27457702</v>
      </c>
      <c r="H125" s="1">
        <v>562.4</v>
      </c>
      <c r="I125" s="1">
        <v>0</v>
      </c>
      <c r="J125" s="10">
        <v>31</v>
      </c>
      <c r="K125" s="10">
        <v>1</v>
      </c>
      <c r="L125" s="163">
        <v>252.2</v>
      </c>
      <c r="M125" s="212">
        <v>368.28</v>
      </c>
      <c r="N125" s="265">
        <f>$W$18+$W$19*H125+$W$20*I125+$W$21*J125+$W$22*K125+$W$23*L125+$W$24*M125</f>
        <v>118919914.17265525</v>
      </c>
      <c r="O125" s="49">
        <f>N125-G125</f>
        <v>808900.898078233</v>
      </c>
      <c r="P125" s="110">
        <f>O125/G125</f>
        <v>6.8486492127347283E-3</v>
      </c>
      <c r="Q125" s="13">
        <f t="shared" si="6"/>
        <v>6.8486492127347283E-3</v>
      </c>
      <c r="R125" s="13"/>
      <c r="S125" s="13"/>
    </row>
    <row r="126" spans="1:20">
      <c r="A126" s="50">
        <f t="shared" si="7"/>
        <v>38837</v>
      </c>
      <c r="B126" s="161">
        <v>101928394</v>
      </c>
      <c r="C126" s="174">
        <v>459428.24700000085</v>
      </c>
      <c r="D126" s="161">
        <v>2611</v>
      </c>
      <c r="F126" s="161">
        <v>166207.34731930206</v>
      </c>
      <c r="G126" s="10">
        <f t="shared" si="5"/>
        <v>101305369.4056807</v>
      </c>
      <c r="H126" s="1">
        <v>322.5</v>
      </c>
      <c r="I126" s="1">
        <v>0</v>
      </c>
      <c r="J126" s="10">
        <v>30</v>
      </c>
      <c r="K126" s="10">
        <v>1</v>
      </c>
      <c r="L126" s="163">
        <v>250.1</v>
      </c>
      <c r="M126" s="212">
        <v>303.83999999999997</v>
      </c>
      <c r="N126" s="265">
        <f>$W$18+$W$19*H126+$W$20*I126+$W$21*J126+$W$22*K126+$W$23*L126+$W$24*M126</f>
        <v>105188159.84557751</v>
      </c>
      <c r="O126" s="49">
        <f>N126-G126</f>
        <v>3882790.4398968071</v>
      </c>
      <c r="P126" s="110">
        <f>O126/G126</f>
        <v>3.8327587793970171E-2</v>
      </c>
      <c r="Q126" s="13">
        <f t="shared" si="6"/>
        <v>3.8327587793970171E-2</v>
      </c>
      <c r="R126" s="13"/>
      <c r="S126" s="13"/>
    </row>
    <row r="127" spans="1:20">
      <c r="A127" s="50">
        <f t="shared" si="7"/>
        <v>38868</v>
      </c>
      <c r="B127" s="161">
        <v>109352162</v>
      </c>
      <c r="D127" s="161">
        <v>2275</v>
      </c>
      <c r="F127" s="161">
        <v>179120.11455693017</v>
      </c>
      <c r="G127" s="10">
        <f t="shared" si="5"/>
        <v>109175316.88544308</v>
      </c>
      <c r="H127" s="1">
        <v>177.8</v>
      </c>
      <c r="I127" s="1">
        <v>17.7</v>
      </c>
      <c r="J127" s="10">
        <v>31</v>
      </c>
      <c r="K127" s="10">
        <v>1</v>
      </c>
      <c r="L127" s="163">
        <v>250.7</v>
      </c>
      <c r="M127" s="212">
        <v>351.91199999999998</v>
      </c>
      <c r="N127" s="265">
        <f>$W$18+$W$19*H127+$W$20*I127+$W$21*J127+$W$22*K127+$W$23*L127+$W$24*M127</f>
        <v>109687040.71963432</v>
      </c>
      <c r="O127" s="49">
        <f>N127-G127</f>
        <v>511723.83419124782</v>
      </c>
      <c r="P127" s="110">
        <f>O127/G127</f>
        <v>4.6871751673338048E-3</v>
      </c>
      <c r="Q127" s="13">
        <f t="shared" si="6"/>
        <v>4.6871751673338048E-3</v>
      </c>
      <c r="R127" s="13"/>
      <c r="S127" s="13"/>
    </row>
    <row r="128" spans="1:20">
      <c r="A128" s="50">
        <f t="shared" si="7"/>
        <v>38898</v>
      </c>
      <c r="B128" s="161">
        <v>114158685</v>
      </c>
      <c r="D128" s="161">
        <v>1302</v>
      </c>
      <c r="F128" s="161">
        <v>186993.25519388</v>
      </c>
      <c r="G128" s="10">
        <f t="shared" si="5"/>
        <v>113972993.74480613</v>
      </c>
      <c r="H128" s="1">
        <v>44.1</v>
      </c>
      <c r="I128" s="1">
        <v>32.200000000000003</v>
      </c>
      <c r="J128" s="10">
        <v>30</v>
      </c>
      <c r="K128" s="10">
        <v>0</v>
      </c>
      <c r="L128" s="163">
        <v>251.7</v>
      </c>
      <c r="M128" s="212">
        <v>352.08</v>
      </c>
      <c r="N128" s="265">
        <f>$W$18+$W$19*H128+$W$20*I128+$W$21*J128+$W$22*K128+$W$23*L128+$W$24*M128</f>
        <v>109024183.62360866</v>
      </c>
      <c r="O128" s="49">
        <f>N128-G128</f>
        <v>-4948810.1211974621</v>
      </c>
      <c r="P128" s="110">
        <f>O128/G128</f>
        <v>-4.3420901378428384E-2</v>
      </c>
      <c r="Q128" s="13">
        <f t="shared" si="6"/>
        <v>4.3420901378428384E-2</v>
      </c>
      <c r="R128" s="13"/>
      <c r="S128" s="13"/>
    </row>
    <row r="129" spans="1:19">
      <c r="A129" s="50">
        <f t="shared" si="7"/>
        <v>38929</v>
      </c>
      <c r="B129" s="161">
        <v>126395645</v>
      </c>
      <c r="D129" s="161">
        <v>1987</v>
      </c>
      <c r="F129" s="161">
        <v>207037.53815033924</v>
      </c>
      <c r="G129" s="10">
        <f t="shared" si="5"/>
        <v>126190594.46184966</v>
      </c>
      <c r="H129" s="1">
        <v>6.5</v>
      </c>
      <c r="I129" s="1">
        <v>117.2</v>
      </c>
      <c r="J129" s="10">
        <v>31</v>
      </c>
      <c r="K129" s="10">
        <v>0</v>
      </c>
      <c r="L129" s="163">
        <v>253.5</v>
      </c>
      <c r="M129" s="212">
        <v>319.92</v>
      </c>
      <c r="N129" s="265">
        <f>$W$18+$W$19*H129+$W$20*I129+$W$21*J129+$W$22*K129+$W$23*L129+$W$24*M129</f>
        <v>123910828.96869323</v>
      </c>
      <c r="O129" s="49">
        <f>N129-G129</f>
        <v>-2279765.4931564331</v>
      </c>
      <c r="P129" s="110">
        <f>O129/G129</f>
        <v>-1.8066049239871512E-2</v>
      </c>
      <c r="Q129" s="13">
        <f t="shared" si="6"/>
        <v>1.8066049239871512E-2</v>
      </c>
      <c r="R129" s="13"/>
      <c r="S129" s="13"/>
    </row>
    <row r="130" spans="1:19">
      <c r="A130" s="50">
        <f t="shared" si="7"/>
        <v>38960</v>
      </c>
      <c r="B130" s="161">
        <v>119390829</v>
      </c>
      <c r="D130" s="161">
        <v>1149</v>
      </c>
      <c r="F130" s="161">
        <v>195563.56798438847</v>
      </c>
      <c r="G130" s="10">
        <f t="shared" si="5"/>
        <v>119196414.43201561</v>
      </c>
      <c r="H130" s="1">
        <v>27.5</v>
      </c>
      <c r="I130" s="1">
        <v>45.5</v>
      </c>
      <c r="J130" s="10">
        <v>31</v>
      </c>
      <c r="K130" s="10">
        <v>0</v>
      </c>
      <c r="L130" s="163">
        <v>253.7</v>
      </c>
      <c r="M130" s="212">
        <v>351.91199999999998</v>
      </c>
      <c r="N130" s="265">
        <f>$W$18+$W$19*H130+$W$20*I130+$W$21*J130+$W$22*K130+$W$23*L130+$W$24*M130</f>
        <v>113745746.27732527</v>
      </c>
      <c r="O130" s="49">
        <f>N130-G130</f>
        <v>-5450668.1546903402</v>
      </c>
      <c r="P130" s="110">
        <f>O130/G130</f>
        <v>-4.5728457358917965E-2</v>
      </c>
      <c r="Q130" s="13">
        <f t="shared" si="6"/>
        <v>4.5728457358917965E-2</v>
      </c>
      <c r="R130" s="13"/>
      <c r="S130" s="13"/>
    </row>
    <row r="131" spans="1:19">
      <c r="A131" s="50">
        <f t="shared" si="7"/>
        <v>38990</v>
      </c>
      <c r="B131" s="161">
        <v>106375052</v>
      </c>
      <c r="D131" s="161">
        <v>2095</v>
      </c>
      <c r="F131" s="161">
        <v>174243.57371406522</v>
      </c>
      <c r="G131" s="10">
        <f t="shared" si="5"/>
        <v>106202903.42628594</v>
      </c>
      <c r="H131" s="1">
        <v>130.30000000000001</v>
      </c>
      <c r="I131" s="1">
        <v>2.2999999999999998</v>
      </c>
      <c r="J131" s="10">
        <v>30</v>
      </c>
      <c r="K131" s="10">
        <v>1</v>
      </c>
      <c r="L131" s="163">
        <v>252.4</v>
      </c>
      <c r="M131" s="212">
        <v>319.68</v>
      </c>
      <c r="N131" s="265">
        <f>$W$18+$W$19*H131+$W$20*I131+$W$21*J131+$W$22*K131+$W$23*L131+$W$24*M131</f>
        <v>102311942.31694801</v>
      </c>
      <c r="O131" s="49">
        <f>N131-G131</f>
        <v>-3890961.1093379259</v>
      </c>
      <c r="P131" s="110">
        <f>O131/G131</f>
        <v>-3.6637050248241015E-2</v>
      </c>
      <c r="Q131" s="13">
        <f t="shared" si="6"/>
        <v>3.6637050248241015E-2</v>
      </c>
      <c r="R131" s="13"/>
      <c r="S131" s="13"/>
    </row>
    <row r="132" spans="1:19">
      <c r="A132" s="50">
        <f t="shared" si="7"/>
        <v>39021</v>
      </c>
      <c r="B132" s="161">
        <v>113289697</v>
      </c>
      <c r="D132" s="161">
        <v>4051</v>
      </c>
      <c r="F132" s="161">
        <v>185569.84273214376</v>
      </c>
      <c r="G132" s="10">
        <f t="shared" si="5"/>
        <v>113108178.15726785</v>
      </c>
      <c r="H132" s="1">
        <v>335.1</v>
      </c>
      <c r="I132" s="1">
        <v>0</v>
      </c>
      <c r="J132" s="10">
        <v>31</v>
      </c>
      <c r="K132" s="10">
        <v>1</v>
      </c>
      <c r="L132" s="163">
        <v>254.7</v>
      </c>
      <c r="M132" s="212">
        <v>336.28800000000001</v>
      </c>
      <c r="N132" s="265">
        <f>$W$18+$W$19*H132+$W$20*I132+$W$21*J132+$W$22*K132+$W$23*L132+$W$24*M132</f>
        <v>111606090.75493515</v>
      </c>
      <c r="O132" s="49">
        <f>N132-G132</f>
        <v>-1502087.4023327082</v>
      </c>
      <c r="P132" s="110">
        <f>O132/G132</f>
        <v>-1.3280095452020951E-2</v>
      </c>
      <c r="Q132" s="13">
        <f t="shared" si="6"/>
        <v>1.3280095452020951E-2</v>
      </c>
      <c r="R132" s="13"/>
      <c r="S132" s="13"/>
    </row>
    <row r="133" spans="1:19">
      <c r="A133" s="50">
        <f t="shared" si="7"/>
        <v>39051</v>
      </c>
      <c r="B133" s="161">
        <v>115282364</v>
      </c>
      <c r="D133" s="161">
        <v>2083</v>
      </c>
      <c r="F133" s="161">
        <v>188833.85447901546</v>
      </c>
      <c r="G133" s="10">
        <f t="shared" si="5"/>
        <v>115095613.14552099</v>
      </c>
      <c r="H133" s="1">
        <v>415.9</v>
      </c>
      <c r="I133" s="1">
        <v>0</v>
      </c>
      <c r="J133" s="10">
        <v>30</v>
      </c>
      <c r="K133" s="10">
        <v>1</v>
      </c>
      <c r="L133" s="163">
        <v>257.39999999999998</v>
      </c>
      <c r="M133" s="212">
        <v>352.08</v>
      </c>
      <c r="N133" s="265">
        <f>$W$18+$W$19*H133+$W$20*I133+$W$21*J133+$W$22*K133+$W$23*L133+$W$24*M133</f>
        <v>114164147.66930482</v>
      </c>
      <c r="O133" s="49">
        <f>N133-G133</f>
        <v>-931465.47621616721</v>
      </c>
      <c r="P133" s="110">
        <f>O133/G133</f>
        <v>-8.0929711459851224E-3</v>
      </c>
      <c r="Q133" s="13">
        <f t="shared" si="6"/>
        <v>8.0929711459851224E-3</v>
      </c>
      <c r="R133" s="13"/>
      <c r="S133" s="13"/>
    </row>
    <row r="134" spans="1:19">
      <c r="A134" s="50">
        <f t="shared" si="7"/>
        <v>39082</v>
      </c>
      <c r="B134" s="161">
        <v>119730905</v>
      </c>
      <c r="D134" s="161">
        <v>5460</v>
      </c>
      <c r="F134" s="161">
        <v>196120.61643193595</v>
      </c>
      <c r="G134" s="10">
        <f t="shared" si="5"/>
        <v>119540244.38356806</v>
      </c>
      <c r="H134" s="1">
        <v>545.20000000000005</v>
      </c>
      <c r="I134" s="1">
        <v>0</v>
      </c>
      <c r="J134" s="10">
        <v>31</v>
      </c>
      <c r="K134" s="10">
        <v>0</v>
      </c>
      <c r="L134" s="163">
        <v>260.60000000000002</v>
      </c>
      <c r="M134" s="212">
        <v>304.29599999999999</v>
      </c>
      <c r="N134" s="265">
        <f>$W$18+$W$19*H134+$W$20*I134+$W$21*J134+$W$22*K134+$W$23*L134+$W$24*M134</f>
        <v>119850367.13027005</v>
      </c>
      <c r="O134" s="49">
        <f>N134-G134</f>
        <v>310122.7467019856</v>
      </c>
      <c r="P134" s="110">
        <f>O134/G134</f>
        <v>2.5942957394908496E-3</v>
      </c>
      <c r="Q134" s="13">
        <f t="shared" si="6"/>
        <v>2.5942957394908496E-3</v>
      </c>
      <c r="R134" s="13"/>
      <c r="S134" s="13"/>
    </row>
    <row r="135" spans="1:19">
      <c r="A135" s="50">
        <f t="shared" si="7"/>
        <v>39113</v>
      </c>
      <c r="B135" s="161">
        <v>127521206</v>
      </c>
      <c r="D135" s="161">
        <v>3907</v>
      </c>
      <c r="F135" s="161">
        <v>220175.70785256205</v>
      </c>
      <c r="G135" s="10">
        <f t="shared" si="5"/>
        <v>127304937.29214744</v>
      </c>
      <c r="H135" s="1">
        <v>698.3</v>
      </c>
      <c r="I135" s="1">
        <v>0</v>
      </c>
      <c r="J135" s="10">
        <v>31</v>
      </c>
      <c r="K135" s="10">
        <v>0</v>
      </c>
      <c r="L135" s="163">
        <v>257.89999999999998</v>
      </c>
      <c r="M135" s="212">
        <v>351.91199999999998</v>
      </c>
      <c r="N135" s="265">
        <f>$W$18+$W$19*H135+$W$20*I135+$W$21*J135+$W$22*K135+$W$23*L135+$W$24*M135</f>
        <v>126037352.4888989</v>
      </c>
      <c r="O135" s="49">
        <f>N135-G135</f>
        <v>-1267584.8032485396</v>
      </c>
      <c r="P135" s="110">
        <f>O135/G135</f>
        <v>-9.9570749588415858E-3</v>
      </c>
      <c r="Q135" s="13">
        <f t="shared" si="6"/>
        <v>9.9570749588415858E-3</v>
      </c>
      <c r="R135" s="13"/>
      <c r="S135" s="13"/>
    </row>
    <row r="136" spans="1:19">
      <c r="A136" s="50">
        <f t="shared" si="7"/>
        <v>39141</v>
      </c>
      <c r="B136" s="161">
        <v>121012861</v>
      </c>
      <c r="D136" s="161">
        <v>4243</v>
      </c>
      <c r="F136" s="161">
        <v>208938.52219323194</v>
      </c>
      <c r="G136" s="10">
        <f t="shared" si="5"/>
        <v>120808165.47780676</v>
      </c>
      <c r="H136" s="1">
        <v>785.1</v>
      </c>
      <c r="I136" s="1">
        <v>0</v>
      </c>
      <c r="J136" s="10">
        <v>29</v>
      </c>
      <c r="K136" s="10">
        <v>0</v>
      </c>
      <c r="L136" s="163">
        <v>254.3</v>
      </c>
      <c r="M136" s="212">
        <v>319.87200000000001</v>
      </c>
      <c r="N136" s="265">
        <f>$W$18+$W$19*H136+$W$20*I136+$W$21*J136+$W$22*K136+$W$23*L136+$W$24*M136</f>
        <v>120936909.58229858</v>
      </c>
      <c r="O136" s="49">
        <f>N136-G136</f>
        <v>128744.10449181497</v>
      </c>
      <c r="P136" s="110">
        <f>O136/G136</f>
        <v>1.0656904190426274E-3</v>
      </c>
      <c r="Q136" s="13">
        <f t="shared" si="6"/>
        <v>1.0656904190426274E-3</v>
      </c>
      <c r="R136" s="13"/>
      <c r="S136" s="13"/>
    </row>
    <row r="137" spans="1:19">
      <c r="A137" s="50">
        <f t="shared" si="7"/>
        <v>39172</v>
      </c>
      <c r="B137" s="161">
        <v>122882865</v>
      </c>
      <c r="D137" s="161">
        <v>0</v>
      </c>
      <c r="F137" s="161">
        <v>212167.23581116245</v>
      </c>
      <c r="G137" s="10">
        <f t="shared" si="5"/>
        <v>122670697.76418884</v>
      </c>
      <c r="H137" s="1">
        <v>582</v>
      </c>
      <c r="I137" s="1">
        <v>0</v>
      </c>
      <c r="J137" s="10">
        <v>31</v>
      </c>
      <c r="K137" s="10">
        <v>1</v>
      </c>
      <c r="L137" s="163">
        <v>252.7</v>
      </c>
      <c r="M137" s="212">
        <v>351.91199999999998</v>
      </c>
      <c r="N137" s="265">
        <f>$W$18+$W$19*H137+$W$20*I137+$W$21*J137+$W$22*K137+$W$23*L137+$W$24*M137</f>
        <v>118612354.27489659</v>
      </c>
      <c r="O137" s="49">
        <f>N137-G137</f>
        <v>-4058343.4892922491</v>
      </c>
      <c r="P137" s="110">
        <f>O137/G137</f>
        <v>-3.3083234735434904E-2</v>
      </c>
      <c r="Q137" s="13">
        <f t="shared" si="6"/>
        <v>3.3083234735434904E-2</v>
      </c>
      <c r="R137" s="13"/>
      <c r="S137" s="13"/>
    </row>
    <row r="138" spans="1:19">
      <c r="A138" s="50">
        <f t="shared" si="7"/>
        <v>39202</v>
      </c>
      <c r="B138" s="161">
        <v>110585850</v>
      </c>
      <c r="D138" s="161">
        <v>0</v>
      </c>
      <c r="F138" s="161">
        <v>190935.44176665996</v>
      </c>
      <c r="G138" s="10">
        <f t="shared" si="5"/>
        <v>110394914.55823334</v>
      </c>
      <c r="H138" s="1">
        <v>403</v>
      </c>
      <c r="I138" s="1">
        <v>0</v>
      </c>
      <c r="J138" s="10">
        <v>30</v>
      </c>
      <c r="K138" s="10">
        <v>1</v>
      </c>
      <c r="L138" s="163">
        <v>250.2</v>
      </c>
      <c r="M138" s="212">
        <v>319.68</v>
      </c>
      <c r="N138" s="265">
        <f>$W$18+$W$19*H138+$W$20*I138+$W$21*J138+$W$22*K138+$W$23*L138+$W$24*M138</f>
        <v>108508331.28030296</v>
      </c>
      <c r="O138" s="49">
        <f>N138-G138</f>
        <v>-1886583.2779303789</v>
      </c>
      <c r="P138" s="110">
        <f>O138/G138</f>
        <v>-1.7089403850529782E-2</v>
      </c>
      <c r="Q138" s="13">
        <f t="shared" si="6"/>
        <v>1.7089403850529782E-2</v>
      </c>
      <c r="R138" s="13"/>
      <c r="S138" s="13"/>
    </row>
    <row r="139" spans="1:19">
      <c r="A139" s="50">
        <f t="shared" si="7"/>
        <v>39233</v>
      </c>
      <c r="B139" s="161">
        <v>110694689</v>
      </c>
      <c r="D139" s="161">
        <v>437</v>
      </c>
      <c r="F139" s="161">
        <v>191123.36113018112</v>
      </c>
      <c r="G139" s="10">
        <f t="shared" si="5"/>
        <v>110504002.63886982</v>
      </c>
      <c r="H139" s="1">
        <v>166.4</v>
      </c>
      <c r="I139" s="1">
        <v>11.2</v>
      </c>
      <c r="J139" s="10">
        <v>31</v>
      </c>
      <c r="K139" s="10">
        <v>1</v>
      </c>
      <c r="L139" s="163">
        <v>249.3</v>
      </c>
      <c r="M139" s="212">
        <v>351.91199999999998</v>
      </c>
      <c r="N139" s="265">
        <f>$W$18+$W$19*H139+$W$20*I139+$W$21*J139+$W$22*K139+$W$23*L139+$W$24*M139</f>
        <v>107580508.68822092</v>
      </c>
      <c r="O139" s="49">
        <f>N139-G139</f>
        <v>-2923493.9506489038</v>
      </c>
      <c r="P139" s="110">
        <f>O139/G139</f>
        <v>-2.6456000514324934E-2</v>
      </c>
      <c r="Q139" s="13">
        <f t="shared" si="6"/>
        <v>2.6456000514324934E-2</v>
      </c>
      <c r="R139" s="13"/>
      <c r="S139" s="13"/>
    </row>
    <row r="140" spans="1:19">
      <c r="A140" s="50">
        <f t="shared" si="7"/>
        <v>39263</v>
      </c>
      <c r="B140" s="161">
        <v>119622506</v>
      </c>
      <c r="D140" s="161">
        <v>2419</v>
      </c>
      <c r="F140" s="161">
        <v>206537.96148734158</v>
      </c>
      <c r="G140" s="10">
        <f t="shared" si="5"/>
        <v>119418387.03851266</v>
      </c>
      <c r="H140" s="1">
        <v>35.5</v>
      </c>
      <c r="I140" s="1">
        <v>51.2</v>
      </c>
      <c r="J140" s="10">
        <v>30</v>
      </c>
      <c r="K140" s="10">
        <v>0</v>
      </c>
      <c r="L140" s="163">
        <v>248.7</v>
      </c>
      <c r="M140" s="212">
        <v>336.24</v>
      </c>
      <c r="N140" s="265">
        <f>$W$18+$W$19*H140+$W$20*I140+$W$21*J140+$W$22*K140+$W$23*L140+$W$24*M140</f>
        <v>109851963.0726413</v>
      </c>
      <c r="O140" s="49">
        <f>N140-G140</f>
        <v>-9566423.9658713639</v>
      </c>
      <c r="P140" s="110">
        <f>O140/G140</f>
        <v>-8.0108467407001352E-2</v>
      </c>
      <c r="Q140" s="13">
        <f t="shared" si="6"/>
        <v>8.0108467407001352E-2</v>
      </c>
      <c r="R140" s="13"/>
      <c r="S140" s="13"/>
    </row>
    <row r="141" spans="1:19">
      <c r="A141" s="50">
        <f t="shared" si="7"/>
        <v>39294</v>
      </c>
      <c r="B141" s="161">
        <v>118464242</v>
      </c>
      <c r="D141" s="161">
        <v>1419</v>
      </c>
      <c r="F141" s="161">
        <v>204538.12472230865</v>
      </c>
      <c r="G141" s="10">
        <f t="shared" si="5"/>
        <v>118261122.8752777</v>
      </c>
      <c r="H141" s="1">
        <v>28</v>
      </c>
      <c r="I141" s="1">
        <v>53.8</v>
      </c>
      <c r="J141" s="10">
        <v>31</v>
      </c>
      <c r="K141" s="10">
        <v>0</v>
      </c>
      <c r="L141" s="163">
        <v>251.1</v>
      </c>
      <c r="M141" s="212">
        <v>336.28800000000001</v>
      </c>
      <c r="N141" s="265">
        <f>$W$18+$W$19*H141+$W$20*I141+$W$21*J141+$W$22*K141+$W$23*L141+$W$24*M141</f>
        <v>113086805.36421381</v>
      </c>
      <c r="O141" s="49">
        <f>N141-G141</f>
        <v>-5174317.5110638887</v>
      </c>
      <c r="P141" s="110">
        <f>O141/G141</f>
        <v>-4.3753326412441597E-2</v>
      </c>
      <c r="Q141" s="13">
        <f t="shared" si="6"/>
        <v>4.3753326412441597E-2</v>
      </c>
      <c r="R141" s="13"/>
      <c r="S141" s="13"/>
    </row>
    <row r="142" spans="1:19">
      <c r="A142" s="50">
        <f t="shared" si="7"/>
        <v>39325</v>
      </c>
      <c r="B142" s="161">
        <v>122840707</v>
      </c>
      <c r="D142" s="161">
        <v>1451</v>
      </c>
      <c r="F142" s="161">
        <v>212094.44660391757</v>
      </c>
      <c r="G142" s="10">
        <f t="shared" si="5"/>
        <v>122630063.55339608</v>
      </c>
      <c r="H142" s="1">
        <v>19.7</v>
      </c>
      <c r="I142" s="1">
        <v>65.099999999999994</v>
      </c>
      <c r="J142" s="10">
        <v>31</v>
      </c>
      <c r="K142" s="10">
        <v>0</v>
      </c>
      <c r="L142" s="163">
        <v>252.4</v>
      </c>
      <c r="M142" s="212">
        <v>351.91199999999998</v>
      </c>
      <c r="N142" s="265">
        <f>$W$18+$W$19*H142+$W$20*I142+$W$21*J142+$W$22*K142+$W$23*L142+$W$24*M142</f>
        <v>116491531.14952907</v>
      </c>
      <c r="O142" s="49">
        <f>N142-G142</f>
        <v>-6138532.4038670063</v>
      </c>
      <c r="P142" s="110">
        <f>O142/G142</f>
        <v>-5.0057320578604625E-2</v>
      </c>
      <c r="Q142" s="13">
        <f t="shared" si="6"/>
        <v>5.0057320578604625E-2</v>
      </c>
      <c r="R142" s="13"/>
      <c r="S142" s="13"/>
    </row>
    <row r="143" spans="1:19">
      <c r="A143" s="50">
        <f t="shared" si="7"/>
        <v>39355</v>
      </c>
      <c r="B143" s="161">
        <v>112981597</v>
      </c>
      <c r="D143" s="161">
        <v>5240</v>
      </c>
      <c r="F143" s="161">
        <v>195071.89332720003</v>
      </c>
      <c r="G143" s="10">
        <f t="shared" si="5"/>
        <v>112791765.10667279</v>
      </c>
      <c r="H143" s="1">
        <v>74.7</v>
      </c>
      <c r="I143" s="1">
        <v>28</v>
      </c>
      <c r="J143" s="10">
        <v>30</v>
      </c>
      <c r="K143" s="10">
        <v>1</v>
      </c>
      <c r="L143" s="163">
        <v>251.5</v>
      </c>
      <c r="M143" s="212">
        <v>303.83999999999997</v>
      </c>
      <c r="N143" s="265">
        <f>$W$18+$W$19*H143+$W$20*I143+$W$21*J143+$W$22*K143+$W$23*L143+$W$24*M143</f>
        <v>103967369.23338059</v>
      </c>
      <c r="O143" s="49">
        <f>N143-G143</f>
        <v>-8824395.8732922077</v>
      </c>
      <c r="P143" s="110">
        <f>O143/G143</f>
        <v>-7.8236171452291198E-2</v>
      </c>
      <c r="Q143" s="13">
        <f t="shared" si="6"/>
        <v>7.8236171452291198E-2</v>
      </c>
      <c r="R143" s="13"/>
      <c r="S143" s="13"/>
    </row>
    <row r="144" spans="1:19">
      <c r="A144" s="50">
        <f t="shared" si="7"/>
        <v>39386</v>
      </c>
      <c r="B144" s="161">
        <v>115330216</v>
      </c>
      <c r="D144" s="161">
        <v>8370</v>
      </c>
      <c r="F144" s="161">
        <v>199126.97457228313</v>
      </c>
      <c r="G144" s="10">
        <f t="shared" si="5"/>
        <v>115139459.02542771</v>
      </c>
      <c r="H144" s="1">
        <v>184.7</v>
      </c>
      <c r="I144" s="1">
        <v>10.9</v>
      </c>
      <c r="J144" s="10">
        <v>31</v>
      </c>
      <c r="K144" s="10">
        <v>1</v>
      </c>
      <c r="L144" s="163">
        <v>252.7</v>
      </c>
      <c r="M144" s="212">
        <v>351.91199999999998</v>
      </c>
      <c r="N144" s="265">
        <f>$W$18+$W$19*H144+$W$20*I144+$W$21*J144+$W$22*K144+$W$23*L144+$W$24*M144</f>
        <v>109533761.26999146</v>
      </c>
      <c r="O144" s="49">
        <f>N144-G144</f>
        <v>-5605697.7554362565</v>
      </c>
      <c r="P144" s="110">
        <f>O144/G144</f>
        <v>-4.8686156795284916E-2</v>
      </c>
      <c r="Q144" s="13">
        <f t="shared" si="6"/>
        <v>4.8686156795284916E-2</v>
      </c>
      <c r="R144" s="13"/>
      <c r="S144" s="13"/>
    </row>
    <row r="145" spans="1:19">
      <c r="A145" s="50">
        <f t="shared" si="7"/>
        <v>39416</v>
      </c>
      <c r="B145" s="161">
        <v>118785032</v>
      </c>
      <c r="D145" s="161">
        <v>9857</v>
      </c>
      <c r="F145" s="161">
        <v>205091.99468274505</v>
      </c>
      <c r="G145" s="10">
        <f t="shared" si="5"/>
        <v>118589797.00531726</v>
      </c>
      <c r="H145" s="1">
        <v>511.8</v>
      </c>
      <c r="I145" s="1">
        <v>0</v>
      </c>
      <c r="J145" s="10">
        <v>30</v>
      </c>
      <c r="K145" s="10">
        <v>1</v>
      </c>
      <c r="L145" s="163">
        <v>256.3</v>
      </c>
      <c r="M145" s="212">
        <v>352.08</v>
      </c>
      <c r="N145" s="265">
        <f>$W$18+$W$19*H145+$W$20*I145+$W$21*J145+$W$22*K145+$W$23*L145+$W$24*M145</f>
        <v>116345290.3957279</v>
      </c>
      <c r="O145" s="49">
        <f>N145-G145</f>
        <v>-2244506.6095893532</v>
      </c>
      <c r="P145" s="110">
        <f>O145/G145</f>
        <v>-1.8926641804511358E-2</v>
      </c>
      <c r="Q145" s="13">
        <f t="shared" si="6"/>
        <v>1.8926641804511358E-2</v>
      </c>
      <c r="R145" s="13"/>
      <c r="S145" s="13"/>
    </row>
    <row r="146" spans="1:19">
      <c r="A146" s="50">
        <f t="shared" si="7"/>
        <v>39447</v>
      </c>
      <c r="B146" s="161">
        <v>125267404</v>
      </c>
      <c r="D146" s="161">
        <v>4607</v>
      </c>
      <c r="F146" s="161">
        <v>216284.33585040644</v>
      </c>
      <c r="G146" s="10">
        <f t="shared" si="5"/>
        <v>125055726.6641496</v>
      </c>
      <c r="H146" s="1">
        <v>686.6</v>
      </c>
      <c r="I146" s="1">
        <v>0</v>
      </c>
      <c r="J146" s="10">
        <v>31</v>
      </c>
      <c r="K146" s="10">
        <v>0</v>
      </c>
      <c r="L146" s="163">
        <v>261.10000000000002</v>
      </c>
      <c r="M146" s="212">
        <v>304.29599999999999</v>
      </c>
      <c r="N146" s="265">
        <f>$W$18+$W$19*H146+$W$20*I146+$W$21*J146+$W$22*K146+$W$23*L146+$W$24*M146</f>
        <v>124001637.5708537</v>
      </c>
      <c r="O146" s="49">
        <f>N146-G146</f>
        <v>-1054089.093295902</v>
      </c>
      <c r="P146" s="110">
        <f>O146/G146</f>
        <v>-8.4289550060092002E-3</v>
      </c>
      <c r="Q146" s="13">
        <f t="shared" si="6"/>
        <v>8.4289550060092002E-3</v>
      </c>
      <c r="R146" s="13"/>
      <c r="S146" s="13"/>
    </row>
    <row r="147" spans="1:19">
      <c r="A147" s="50">
        <f t="shared" si="7"/>
        <v>39478</v>
      </c>
      <c r="B147" s="161">
        <v>129540752</v>
      </c>
      <c r="D147" s="161">
        <v>22682</v>
      </c>
      <c r="F147" s="161">
        <v>180694.08408251102</v>
      </c>
      <c r="G147" s="10">
        <f t="shared" si="5"/>
        <v>129382739.91591749</v>
      </c>
      <c r="H147" s="1">
        <v>676.8</v>
      </c>
      <c r="I147" s="1">
        <v>0</v>
      </c>
      <c r="J147" s="10">
        <v>31</v>
      </c>
      <c r="K147" s="10">
        <v>0</v>
      </c>
      <c r="L147" s="163">
        <v>261.60000000000002</v>
      </c>
      <c r="M147" s="21">
        <v>352</v>
      </c>
      <c r="N147" s="265">
        <f>$W$18+$W$19*H147+$W$20*I147+$W$21*J147+$W$22*K147+$W$23*L147+$W$24*M147</f>
        <v>127076292.53821726</v>
      </c>
      <c r="O147" s="49">
        <f>N147-G147</f>
        <v>-2306447.3777002245</v>
      </c>
      <c r="P147" s="110">
        <f>O147/G147</f>
        <v>-1.7826546100346348E-2</v>
      </c>
      <c r="Q147" s="13">
        <f t="shared" si="6"/>
        <v>1.7826546100346348E-2</v>
      </c>
      <c r="R147" s="13"/>
      <c r="S147" s="13"/>
    </row>
    <row r="148" spans="1:19">
      <c r="A148" s="50">
        <f t="shared" si="7"/>
        <v>39507</v>
      </c>
      <c r="B148" s="161">
        <v>121546289</v>
      </c>
      <c r="D148" s="161">
        <v>12657</v>
      </c>
      <c r="F148" s="161">
        <v>169542.75025733357</v>
      </c>
      <c r="G148" s="10">
        <f t="shared" si="5"/>
        <v>121389403.24974267</v>
      </c>
      <c r="H148" s="1">
        <v>651.20000000000005</v>
      </c>
      <c r="I148" s="1">
        <v>0</v>
      </c>
      <c r="J148" s="10">
        <v>28</v>
      </c>
      <c r="K148" s="10">
        <v>0</v>
      </c>
      <c r="L148" s="163">
        <v>258.3</v>
      </c>
      <c r="M148" s="21">
        <v>320</v>
      </c>
      <c r="N148" s="265">
        <f>$W$18+$W$19*H148+$W$20*I148+$W$21*J148+$W$22*K148+$W$23*L148+$W$24*M148</f>
        <v>117072690.48644936</v>
      </c>
      <c r="O148" s="49">
        <f>N148-G148</f>
        <v>-4316712.763293311</v>
      </c>
      <c r="P148" s="110">
        <f>O148/G148</f>
        <v>-3.5560869793652784E-2</v>
      </c>
      <c r="Q148" s="13">
        <f t="shared" si="6"/>
        <v>3.5560869793652784E-2</v>
      </c>
      <c r="R148" s="13"/>
      <c r="S148" s="13"/>
    </row>
    <row r="149" spans="1:19">
      <c r="A149" s="50">
        <f t="shared" si="7"/>
        <v>39538</v>
      </c>
      <c r="B149" s="161">
        <v>123025577</v>
      </c>
      <c r="D149" s="161">
        <v>11617</v>
      </c>
      <c r="F149" s="161">
        <v>171606.18269945995</v>
      </c>
      <c r="G149" s="10">
        <f t="shared" si="5"/>
        <v>122865587.81730054</v>
      </c>
      <c r="H149" s="1">
        <v>686.1</v>
      </c>
      <c r="I149" s="1">
        <v>0</v>
      </c>
      <c r="J149" s="10">
        <v>31</v>
      </c>
      <c r="K149" s="10">
        <v>1</v>
      </c>
      <c r="L149" s="163">
        <v>254.6</v>
      </c>
      <c r="M149" s="21">
        <v>304</v>
      </c>
      <c r="N149" s="265">
        <f>$W$18+$W$19*H149+$W$20*I149+$W$21*J149+$W$22*K149+$W$23*L149+$W$24*M149</f>
        <v>119203440.94835553</v>
      </c>
      <c r="O149" s="49">
        <f>N149-G149</f>
        <v>-3662146.8689450175</v>
      </c>
      <c r="P149" s="110">
        <f>O149/G149</f>
        <v>-2.9806123374354256E-2</v>
      </c>
      <c r="Q149" s="13">
        <f t="shared" si="6"/>
        <v>2.9806123374354256E-2</v>
      </c>
      <c r="R149" s="13"/>
      <c r="S149" s="13"/>
    </row>
    <row r="150" spans="1:19">
      <c r="A150" s="50">
        <f t="shared" si="7"/>
        <v>39568</v>
      </c>
      <c r="B150" s="161">
        <v>110354711</v>
      </c>
      <c r="D150" s="161">
        <v>8264</v>
      </c>
      <c r="F150" s="161">
        <v>153931.81775210943</v>
      </c>
      <c r="G150" s="10">
        <f t="shared" si="5"/>
        <v>110209043.18224789</v>
      </c>
      <c r="H150" s="1">
        <v>297.89999999999998</v>
      </c>
      <c r="I150" s="1">
        <v>0</v>
      </c>
      <c r="J150" s="10">
        <v>30</v>
      </c>
      <c r="K150" s="10">
        <v>1</v>
      </c>
      <c r="L150" s="163">
        <v>253.9</v>
      </c>
      <c r="M150" s="21">
        <v>352</v>
      </c>
      <c r="N150" s="265">
        <f>$W$18+$W$19*H150+$W$20*I150+$W$21*J150+$W$22*K150+$W$23*L150+$W$24*M150</f>
        <v>109335823.35863335</v>
      </c>
      <c r="O150" s="49">
        <f>N150-G150</f>
        <v>-873219.82361453772</v>
      </c>
      <c r="P150" s="110">
        <f>O150/G150</f>
        <v>-7.9233046436174223E-3</v>
      </c>
      <c r="Q150" s="13">
        <f t="shared" si="6"/>
        <v>7.9233046436174223E-3</v>
      </c>
      <c r="R150" s="13"/>
      <c r="S150" s="13"/>
    </row>
    <row r="151" spans="1:19">
      <c r="A151" s="50">
        <f t="shared" si="7"/>
        <v>39599</v>
      </c>
      <c r="B151" s="161">
        <v>107757169</v>
      </c>
      <c r="D151" s="161">
        <v>8874</v>
      </c>
      <c r="F151" s="161">
        <v>150308.55275395769</v>
      </c>
      <c r="G151" s="10">
        <f t="shared" si="5"/>
        <v>107615734.44724604</v>
      </c>
      <c r="H151" s="1">
        <v>243.1</v>
      </c>
      <c r="I151" s="1">
        <v>0.7</v>
      </c>
      <c r="J151" s="10">
        <v>31</v>
      </c>
      <c r="K151" s="10">
        <v>1</v>
      </c>
      <c r="L151" s="163">
        <v>253.2</v>
      </c>
      <c r="M151" s="21">
        <v>336</v>
      </c>
      <c r="N151" s="265">
        <f>$W$18+$W$19*H151+$W$20*I151+$W$21*J151+$W$22*K151+$W$23*L151+$W$24*M151</f>
        <v>108494748.52583069</v>
      </c>
      <c r="O151" s="49">
        <f>N151-G151</f>
        <v>879014.07858464122</v>
      </c>
      <c r="P151" s="110">
        <f>O151/G151</f>
        <v>8.1680813972007018E-3</v>
      </c>
      <c r="Q151" s="13">
        <f t="shared" si="6"/>
        <v>8.1680813972007018E-3</v>
      </c>
      <c r="R151" s="13"/>
      <c r="S151" s="13"/>
    </row>
    <row r="152" spans="1:19">
      <c r="A152" s="50">
        <f t="shared" si="7"/>
        <v>39629</v>
      </c>
      <c r="B152" s="161">
        <v>115141214</v>
      </c>
      <c r="D152" s="161">
        <v>6366</v>
      </c>
      <c r="F152" s="161">
        <v>160608.42540020452</v>
      </c>
      <c r="G152" s="10">
        <f t="shared" si="5"/>
        <v>114986971.5745998</v>
      </c>
      <c r="H152" s="1">
        <v>40.6</v>
      </c>
      <c r="I152" s="1">
        <v>53</v>
      </c>
      <c r="J152" s="10">
        <v>30</v>
      </c>
      <c r="K152" s="10">
        <v>0</v>
      </c>
      <c r="L152" s="163">
        <v>255.7</v>
      </c>
      <c r="M152" s="21">
        <v>336</v>
      </c>
      <c r="N152" s="265">
        <f>$W$18+$W$19*H152+$W$20*I152+$W$21*J152+$W$22*K152+$W$23*L152+$W$24*M152</f>
        <v>113388135.17063543</v>
      </c>
      <c r="O152" s="49">
        <f>N152-G152</f>
        <v>-1598836.4039643705</v>
      </c>
      <c r="P152" s="110">
        <f>O152/G152</f>
        <v>-1.3904500501842484E-2</v>
      </c>
      <c r="Q152" s="13">
        <f t="shared" si="6"/>
        <v>1.3904500501842484E-2</v>
      </c>
      <c r="R152" s="13"/>
      <c r="S152" s="13"/>
    </row>
    <row r="153" spans="1:19">
      <c r="A153" s="50">
        <f t="shared" si="7"/>
        <v>39660</v>
      </c>
      <c r="B153" s="161">
        <v>125482805</v>
      </c>
      <c r="D153" s="161">
        <v>4505</v>
      </c>
      <c r="F153" s="161">
        <v>175033.72620207837</v>
      </c>
      <c r="G153" s="10">
        <f t="shared" si="5"/>
        <v>125312276.27379791</v>
      </c>
      <c r="H153" s="1">
        <v>7.6</v>
      </c>
      <c r="I153" s="1">
        <v>75.8</v>
      </c>
      <c r="J153" s="10">
        <v>31</v>
      </c>
      <c r="K153" s="10">
        <v>0</v>
      </c>
      <c r="L153" s="163">
        <v>256.39999999999998</v>
      </c>
      <c r="M153" s="21">
        <v>352</v>
      </c>
      <c r="N153" s="265">
        <f>$W$18+$W$19*H153+$W$20*I153+$W$21*J153+$W$22*K153+$W$23*L153+$W$24*M153</f>
        <v>119854186.53034331</v>
      </c>
      <c r="O153" s="49">
        <f>N153-G153</f>
        <v>-5458089.7434546053</v>
      </c>
      <c r="P153" s="110">
        <f>O153/G153</f>
        <v>-4.3555906139068845E-2</v>
      </c>
      <c r="Q153" s="13">
        <f t="shared" si="6"/>
        <v>4.3555906139068845E-2</v>
      </c>
      <c r="R153" s="13"/>
      <c r="S153" s="13"/>
    </row>
    <row r="154" spans="1:19">
      <c r="A154" s="50">
        <f t="shared" si="7"/>
        <v>39691</v>
      </c>
      <c r="B154" s="161">
        <v>116642720</v>
      </c>
      <c r="D154" s="161">
        <v>3345</v>
      </c>
      <c r="F154" s="161">
        <v>162702.84933418318</v>
      </c>
      <c r="G154" s="10">
        <f t="shared" si="5"/>
        <v>116483362.15066582</v>
      </c>
      <c r="H154" s="1">
        <v>36.200000000000003</v>
      </c>
      <c r="I154" s="1">
        <v>29.5</v>
      </c>
      <c r="J154" s="10">
        <v>31</v>
      </c>
      <c r="K154" s="10">
        <v>0</v>
      </c>
      <c r="L154" s="163">
        <v>260</v>
      </c>
      <c r="M154" s="21">
        <v>320</v>
      </c>
      <c r="N154" s="265">
        <f>$W$18+$W$19*H154+$W$20*I154+$W$21*J154+$W$22*K154+$W$23*L154+$W$24*M154</f>
        <v>111786620.19443625</v>
      </c>
      <c r="O154" s="49">
        <f>N154-G154</f>
        <v>-4696741.9562295675</v>
      </c>
      <c r="P154" s="110">
        <f>O154/G154</f>
        <v>-4.0321140028174579E-2</v>
      </c>
      <c r="Q154" s="13">
        <f t="shared" si="6"/>
        <v>4.0321140028174579E-2</v>
      </c>
      <c r="R154" s="13"/>
      <c r="S154" s="13"/>
    </row>
    <row r="155" spans="1:19">
      <c r="A155" s="50">
        <f t="shared" si="7"/>
        <v>39721</v>
      </c>
      <c r="B155" s="161">
        <v>113785450</v>
      </c>
      <c r="D155" s="161">
        <v>3183</v>
      </c>
      <c r="F155" s="161">
        <v>158717.29438212889</v>
      </c>
      <c r="G155" s="10">
        <f t="shared" si="5"/>
        <v>113629915.70561787</v>
      </c>
      <c r="H155" s="1">
        <v>93.2</v>
      </c>
      <c r="I155" s="1">
        <v>12</v>
      </c>
      <c r="J155" s="10">
        <v>30</v>
      </c>
      <c r="K155" s="10">
        <v>1</v>
      </c>
      <c r="L155" s="163">
        <v>261.89999999999998</v>
      </c>
      <c r="M155" s="21">
        <v>336</v>
      </c>
      <c r="N155" s="265">
        <f>$W$18+$W$19*H155+$W$20*I155+$W$21*J155+$W$22*K155+$W$23*L155+$W$24*M155</f>
        <v>108287384.24861012</v>
      </c>
      <c r="O155" s="49">
        <f>N155-G155</f>
        <v>-5342531.4570077509</v>
      </c>
      <c r="P155" s="110">
        <f>O155/G155</f>
        <v>-4.7016944647294286E-2</v>
      </c>
      <c r="Q155" s="13">
        <f t="shared" si="6"/>
        <v>4.7016944647294286E-2</v>
      </c>
      <c r="R155" s="13"/>
      <c r="S155" s="13"/>
    </row>
    <row r="156" spans="1:19">
      <c r="A156" s="50">
        <f t="shared" si="7"/>
        <v>39752</v>
      </c>
      <c r="B156" s="161">
        <v>114890260</v>
      </c>
      <c r="D156" s="161">
        <v>8696</v>
      </c>
      <c r="F156" s="161">
        <v>160258.37414238226</v>
      </c>
      <c r="G156" s="10">
        <f t="shared" ref="G156:G219" si="8">+B156-C156+D156-F156</f>
        <v>114738697.62585762</v>
      </c>
      <c r="H156" s="1">
        <v>325.7</v>
      </c>
      <c r="I156" s="1">
        <v>0</v>
      </c>
      <c r="J156" s="10">
        <v>31</v>
      </c>
      <c r="K156" s="10">
        <v>1</v>
      </c>
      <c r="L156" s="163">
        <v>266.10000000000002</v>
      </c>
      <c r="M156" s="21">
        <v>352</v>
      </c>
      <c r="N156" s="265">
        <f>$W$18+$W$19*H156+$W$20*I156+$W$21*J156+$W$22*K156+$W$23*L156+$W$24*M156</f>
        <v>117399430.72286226</v>
      </c>
      <c r="O156" s="49">
        <f>N156-G156</f>
        <v>2660733.0970046371</v>
      </c>
      <c r="P156" s="110">
        <f>O156/G156</f>
        <v>2.3189500596222663E-2</v>
      </c>
      <c r="Q156" s="13">
        <f t="shared" ref="Q156:Q219" si="9">ABS(P156)</f>
        <v>2.3189500596222663E-2</v>
      </c>
      <c r="R156" s="13"/>
      <c r="S156" s="13"/>
    </row>
    <row r="157" spans="1:19">
      <c r="A157" s="50">
        <f t="shared" si="7"/>
        <v>39782</v>
      </c>
      <c r="B157" s="161">
        <v>117556400</v>
      </c>
      <c r="D157" s="161">
        <v>7348</v>
      </c>
      <c r="F157" s="161">
        <v>163977.32526701174</v>
      </c>
      <c r="G157" s="10">
        <f t="shared" si="8"/>
        <v>117399770.67473298</v>
      </c>
      <c r="H157" s="1">
        <v>499.7</v>
      </c>
      <c r="I157" s="1">
        <v>0</v>
      </c>
      <c r="J157" s="10">
        <v>30</v>
      </c>
      <c r="K157" s="10">
        <v>1</v>
      </c>
      <c r="L157" s="163">
        <v>269.10000000000002</v>
      </c>
      <c r="M157" s="21">
        <v>304</v>
      </c>
      <c r="N157" s="265">
        <f>$W$18+$W$19*H157+$W$20*I157+$W$21*J157+$W$22*K157+$W$23*L157+$W$24*M157</f>
        <v>118499480.81728259</v>
      </c>
      <c r="O157" s="49">
        <f>N157-G157</f>
        <v>1099710.1425496042</v>
      </c>
      <c r="P157" s="110">
        <f>O157/G157</f>
        <v>9.3672256447285031E-3</v>
      </c>
      <c r="Q157" s="13">
        <f t="shared" si="9"/>
        <v>9.3672256447285031E-3</v>
      </c>
      <c r="R157" s="13"/>
      <c r="S157" s="13"/>
    </row>
    <row r="158" spans="1:19">
      <c r="A158" s="50">
        <f t="shared" si="7"/>
        <v>39813</v>
      </c>
      <c r="B158" s="161">
        <v>127583980</v>
      </c>
      <c r="D158" s="161">
        <v>10165</v>
      </c>
      <c r="F158" s="161">
        <v>177964.61772663947</v>
      </c>
      <c r="G158" s="10">
        <f t="shared" si="8"/>
        <v>127416180.38227336</v>
      </c>
      <c r="H158" s="1">
        <v>694</v>
      </c>
      <c r="I158" s="1">
        <v>0</v>
      </c>
      <c r="J158" s="10">
        <v>31</v>
      </c>
      <c r="K158" s="10">
        <v>0</v>
      </c>
      <c r="L158" s="163">
        <v>267.5</v>
      </c>
      <c r="M158" s="21">
        <v>336</v>
      </c>
      <c r="N158" s="265">
        <f>$W$18+$W$19*H158+$W$20*I158+$W$21*J158+$W$22*K158+$W$23*L158+$W$24*M158</f>
        <v>129106317.05973725</v>
      </c>
      <c r="O158" s="49">
        <f>N158-G158</f>
        <v>1690136.6774638891</v>
      </c>
      <c r="P158" s="110">
        <f>O158/G158</f>
        <v>1.3264694267189221E-2</v>
      </c>
      <c r="Q158" s="13">
        <f t="shared" si="9"/>
        <v>1.3264694267189221E-2</v>
      </c>
      <c r="R158" s="13"/>
      <c r="S158" s="13"/>
    </row>
    <row r="159" spans="1:19">
      <c r="A159" s="50">
        <f t="shared" si="7"/>
        <v>39844</v>
      </c>
      <c r="B159" s="161">
        <v>133644440</v>
      </c>
      <c r="D159" s="161">
        <v>5405</v>
      </c>
      <c r="F159" s="161">
        <v>201793.81042380023</v>
      </c>
      <c r="G159" s="10">
        <f t="shared" si="8"/>
        <v>133448051.18957619</v>
      </c>
      <c r="H159" s="1">
        <v>891.8</v>
      </c>
      <c r="I159" s="1">
        <v>0</v>
      </c>
      <c r="J159" s="10">
        <v>31</v>
      </c>
      <c r="K159" s="10">
        <v>0</v>
      </c>
      <c r="L159" s="163">
        <v>264</v>
      </c>
      <c r="M159" s="21">
        <v>336</v>
      </c>
      <c r="N159" s="265">
        <f>$W$18+$W$19*H159+$W$20*I159+$W$21*J159+$W$22*K159+$W$23*L159+$W$24*M159</f>
        <v>133062393.77127251</v>
      </c>
      <c r="O159" s="49">
        <f>N159-G159</f>
        <v>-385657.4183036834</v>
      </c>
      <c r="P159" s="110">
        <f>O159/G159</f>
        <v>-2.889944175773828E-3</v>
      </c>
      <c r="Q159" s="13">
        <f t="shared" si="9"/>
        <v>2.889944175773828E-3</v>
      </c>
      <c r="R159" s="13"/>
      <c r="S159" s="13"/>
    </row>
    <row r="160" spans="1:19">
      <c r="A160" s="50">
        <f t="shared" ref="A160:A216" si="10">EOMONTH(A159,1)</f>
        <v>39872</v>
      </c>
      <c r="B160" s="161">
        <v>116396740</v>
      </c>
      <c r="D160" s="161">
        <v>7542</v>
      </c>
      <c r="F160" s="161">
        <v>175750.98287297523</v>
      </c>
      <c r="G160" s="10">
        <f t="shared" si="8"/>
        <v>116228531.01712702</v>
      </c>
      <c r="H160" s="1">
        <v>649.6</v>
      </c>
      <c r="I160" s="1">
        <v>0</v>
      </c>
      <c r="J160" s="10">
        <v>28</v>
      </c>
      <c r="K160" s="10">
        <v>0</v>
      </c>
      <c r="L160" s="163">
        <v>258.60000000000002</v>
      </c>
      <c r="M160" s="21">
        <v>304</v>
      </c>
      <c r="N160" s="265">
        <f>$W$18+$W$19*H160+$W$20*I160+$W$21*J160+$W$22*K160+$W$23*L160+$W$24*M160</f>
        <v>116111741.32248192</v>
      </c>
      <c r="O160" s="49">
        <f>N160-G160</f>
        <v>-116789.69464510679</v>
      </c>
      <c r="P160" s="110">
        <f>O160/G160</f>
        <v>-1.0048281056558917E-3</v>
      </c>
      <c r="Q160" s="13">
        <f t="shared" si="9"/>
        <v>1.0048281056558917E-3</v>
      </c>
      <c r="R160" s="13"/>
      <c r="S160" s="13"/>
    </row>
    <row r="161" spans="1:19">
      <c r="A161" s="50">
        <f t="shared" si="10"/>
        <v>39903</v>
      </c>
      <c r="B161" s="161">
        <v>122514006</v>
      </c>
      <c r="D161" s="161">
        <v>7052</v>
      </c>
      <c r="F161" s="161">
        <v>184987.62912265057</v>
      </c>
      <c r="G161" s="10">
        <f t="shared" si="8"/>
        <v>122336070.37087736</v>
      </c>
      <c r="H161" s="1">
        <v>562.6</v>
      </c>
      <c r="I161" s="1">
        <v>0</v>
      </c>
      <c r="J161" s="10">
        <v>31</v>
      </c>
      <c r="K161" s="10">
        <v>1</v>
      </c>
      <c r="L161" s="163">
        <v>254.4</v>
      </c>
      <c r="M161" s="21">
        <v>352</v>
      </c>
      <c r="N161" s="265">
        <f>$W$18+$W$19*H161+$W$20*I161+$W$21*J161+$W$22*K161+$W$23*L161+$W$24*M161</f>
        <v>118828124.27708237</v>
      </c>
      <c r="O161" s="49">
        <f>N161-G161</f>
        <v>-3507946.0937949866</v>
      </c>
      <c r="P161" s="110">
        <f>O161/G161</f>
        <v>-2.8674667112979859E-2</v>
      </c>
      <c r="Q161" s="13">
        <f t="shared" si="9"/>
        <v>2.8674667112979859E-2</v>
      </c>
      <c r="R161" s="13"/>
      <c r="S161" s="13"/>
    </row>
    <row r="162" spans="1:19">
      <c r="A162" s="50">
        <f t="shared" si="10"/>
        <v>39933</v>
      </c>
      <c r="B162" s="161">
        <v>109450364</v>
      </c>
      <c r="D162" s="161">
        <v>9944</v>
      </c>
      <c r="F162" s="161">
        <v>165262.43818173005</v>
      </c>
      <c r="G162" s="10">
        <f t="shared" si="8"/>
        <v>109295045.56181827</v>
      </c>
      <c r="H162" s="1">
        <v>341.5</v>
      </c>
      <c r="I162" s="1">
        <v>3.2</v>
      </c>
      <c r="J162" s="10">
        <v>30</v>
      </c>
      <c r="K162" s="10">
        <v>1</v>
      </c>
      <c r="L162" s="163">
        <v>251.4</v>
      </c>
      <c r="M162" s="21">
        <v>320</v>
      </c>
      <c r="N162" s="265">
        <f>$W$18+$W$19*H162+$W$20*I162+$W$21*J162+$W$22*K162+$W$23*L162+$W$24*M162</f>
        <v>107925796.79931101</v>
      </c>
      <c r="O162" s="49">
        <f>N162-G162</f>
        <v>-1369248.7625072598</v>
      </c>
      <c r="P162" s="110">
        <f>O162/G162</f>
        <v>-1.2528003949939344E-2</v>
      </c>
      <c r="Q162" s="13">
        <f t="shared" si="9"/>
        <v>1.2528003949939344E-2</v>
      </c>
      <c r="R162" s="13"/>
      <c r="S162" s="13"/>
    </row>
    <row r="163" spans="1:19">
      <c r="A163" s="50">
        <f t="shared" si="10"/>
        <v>39964</v>
      </c>
      <c r="B163" s="161">
        <v>106688597.40000001</v>
      </c>
      <c r="D163" s="161">
        <v>7866</v>
      </c>
      <c r="F163" s="161">
        <v>161092.36267604359</v>
      </c>
      <c r="G163" s="10">
        <f t="shared" si="8"/>
        <v>106535371.03732397</v>
      </c>
      <c r="H163" s="1">
        <v>192.8</v>
      </c>
      <c r="I163" s="1">
        <v>2.2999999999999998</v>
      </c>
      <c r="J163" s="10">
        <v>31</v>
      </c>
      <c r="K163" s="10">
        <v>1</v>
      </c>
      <c r="L163" s="163">
        <v>249.4</v>
      </c>
      <c r="M163" s="21">
        <v>320</v>
      </c>
      <c r="N163" s="265">
        <f>$W$18+$W$19*H163+$W$20*I163+$W$21*J163+$W$22*K163+$W$23*L163+$W$24*M163</f>
        <v>104661398.46816373</v>
      </c>
      <c r="O163" s="49">
        <f>N163-G163</f>
        <v>-1873972.5691602379</v>
      </c>
      <c r="P163" s="110">
        <f>O163/G163</f>
        <v>-1.7590144483597882E-2</v>
      </c>
      <c r="Q163" s="13">
        <f t="shared" si="9"/>
        <v>1.7590144483597882E-2</v>
      </c>
      <c r="R163" s="13"/>
      <c r="S163" s="13"/>
    </row>
    <row r="164" spans="1:19">
      <c r="A164" s="50">
        <f t="shared" si="10"/>
        <v>39994</v>
      </c>
      <c r="B164" s="161">
        <v>112029483.90000001</v>
      </c>
      <c r="D164" s="161">
        <v>3162</v>
      </c>
      <c r="F164" s="161">
        <v>169156.72987213518</v>
      </c>
      <c r="G164" s="10">
        <f t="shared" si="8"/>
        <v>111863489.17012787</v>
      </c>
      <c r="H164" s="1">
        <v>75.7</v>
      </c>
      <c r="I164" s="1">
        <v>26.2</v>
      </c>
      <c r="J164" s="10">
        <v>30</v>
      </c>
      <c r="K164" s="10">
        <v>0</v>
      </c>
      <c r="L164" s="163">
        <v>251.4</v>
      </c>
      <c r="M164" s="21">
        <v>352</v>
      </c>
      <c r="N164" s="265">
        <f>$W$18+$W$19*H164+$W$20*I164+$W$21*J164+$W$22*K164+$W$23*L164+$W$24*M164</f>
        <v>108682843.71776219</v>
      </c>
      <c r="O164" s="49">
        <f>N164-G164</f>
        <v>-3180645.4523656815</v>
      </c>
      <c r="P164" s="110">
        <f>O164/G164</f>
        <v>-2.8433275914792795E-2</v>
      </c>
      <c r="Q164" s="13">
        <f t="shared" si="9"/>
        <v>2.8433275914792795E-2</v>
      </c>
      <c r="R164" s="13"/>
      <c r="S164" s="13"/>
    </row>
    <row r="165" spans="1:19">
      <c r="A165" s="50">
        <f t="shared" si="10"/>
        <v>40025</v>
      </c>
      <c r="B165" s="161">
        <v>113742744.5</v>
      </c>
      <c r="D165" s="161">
        <v>3355</v>
      </c>
      <c r="F165" s="161">
        <v>171743.63423361082</v>
      </c>
      <c r="G165" s="10">
        <f t="shared" si="8"/>
        <v>113574355.86576639</v>
      </c>
      <c r="H165" s="1">
        <v>37.6</v>
      </c>
      <c r="I165" s="1">
        <v>14.5</v>
      </c>
      <c r="J165" s="10">
        <v>31</v>
      </c>
      <c r="K165" s="10">
        <v>0</v>
      </c>
      <c r="L165" s="163">
        <v>253.4</v>
      </c>
      <c r="M165" s="21">
        <v>352</v>
      </c>
      <c r="N165" s="265">
        <f>$W$18+$W$19*H165+$W$20*I165+$W$21*J165+$W$22*K165+$W$23*L165+$W$24*M165</f>
        <v>108307991.20417736</v>
      </c>
      <c r="O165" s="49">
        <f>N165-G165</f>
        <v>-5266364.6615890265</v>
      </c>
      <c r="P165" s="110">
        <f>O165/G165</f>
        <v>-4.6369311289014455E-2</v>
      </c>
      <c r="Q165" s="13">
        <f t="shared" si="9"/>
        <v>4.6369311289014455E-2</v>
      </c>
      <c r="R165" s="13"/>
      <c r="S165" s="13"/>
    </row>
    <row r="166" spans="1:19">
      <c r="A166" s="50">
        <f t="shared" si="10"/>
        <v>40056</v>
      </c>
      <c r="B166" s="161">
        <v>121976828.7</v>
      </c>
      <c r="D166" s="161">
        <v>3504</v>
      </c>
      <c r="F166" s="161">
        <v>184176.52875633401</v>
      </c>
      <c r="G166" s="10">
        <f t="shared" si="8"/>
        <v>121796156.17124367</v>
      </c>
      <c r="H166" s="1">
        <v>18.2</v>
      </c>
      <c r="I166" s="1">
        <v>57.3</v>
      </c>
      <c r="J166" s="10">
        <v>31</v>
      </c>
      <c r="K166" s="10">
        <v>0</v>
      </c>
      <c r="L166" s="163">
        <v>256.7</v>
      </c>
      <c r="M166" s="21">
        <v>320</v>
      </c>
      <c r="N166" s="265">
        <f>$W$18+$W$19*H166+$W$20*I166+$W$21*J166+$W$22*K166+$W$23*L166+$W$24*M166</f>
        <v>114846490.37888888</v>
      </c>
      <c r="O166" s="49">
        <f>N166-G166</f>
        <v>-6949665.7923547924</v>
      </c>
      <c r="P166" s="110">
        <f>O166/G166</f>
        <v>-5.7059812155185428E-2</v>
      </c>
      <c r="Q166" s="13">
        <f t="shared" si="9"/>
        <v>5.7059812155185428E-2</v>
      </c>
      <c r="R166" s="13"/>
      <c r="S166" s="13"/>
    </row>
    <row r="167" spans="1:19">
      <c r="A167" s="50">
        <f t="shared" si="10"/>
        <v>40086</v>
      </c>
      <c r="B167" s="161">
        <v>113325953.3</v>
      </c>
      <c r="D167" s="161">
        <v>3212</v>
      </c>
      <c r="F167" s="161">
        <v>171114.30850633694</v>
      </c>
      <c r="G167" s="10">
        <f t="shared" si="8"/>
        <v>113158050.99149366</v>
      </c>
      <c r="H167" s="1">
        <v>88.8</v>
      </c>
      <c r="I167" s="1">
        <v>5.5</v>
      </c>
      <c r="J167" s="10">
        <v>30</v>
      </c>
      <c r="K167" s="10">
        <v>1</v>
      </c>
      <c r="L167" s="163">
        <v>257.89999999999998</v>
      </c>
      <c r="M167" s="21">
        <v>336</v>
      </c>
      <c r="N167" s="265">
        <f>$W$18+$W$19*H167+$W$20*I167+$W$21*J167+$W$22*K167+$W$23*L167+$W$24*M167</f>
        <v>105229436.04058863</v>
      </c>
      <c r="O167" s="49">
        <f>N167-G167</f>
        <v>-7928614.950905025</v>
      </c>
      <c r="P167" s="110">
        <f>O167/G167</f>
        <v>-7.0066733046692684E-2</v>
      </c>
      <c r="Q167" s="13">
        <f t="shared" si="9"/>
        <v>7.0066733046692684E-2</v>
      </c>
      <c r="R167" s="13"/>
      <c r="S167" s="13"/>
    </row>
    <row r="168" spans="1:19">
      <c r="A168" s="50">
        <f t="shared" si="10"/>
        <v>40117</v>
      </c>
      <c r="B168" s="161">
        <v>117459965.8</v>
      </c>
      <c r="D168" s="161">
        <v>4686</v>
      </c>
      <c r="F168" s="161">
        <v>177356.37989153352</v>
      </c>
      <c r="G168" s="10">
        <f t="shared" si="8"/>
        <v>117287295.42010847</v>
      </c>
      <c r="H168" s="1">
        <v>329.1</v>
      </c>
      <c r="I168" s="1">
        <v>0</v>
      </c>
      <c r="J168" s="10">
        <v>31</v>
      </c>
      <c r="K168" s="10">
        <v>1</v>
      </c>
      <c r="L168" s="163">
        <v>260</v>
      </c>
      <c r="M168" s="21">
        <v>336</v>
      </c>
      <c r="N168" s="265">
        <f>$W$18+$W$19*H168+$W$20*I168+$W$21*J168+$W$22*K168+$W$23*L168+$W$24*M168</f>
        <v>113756521.85733932</v>
      </c>
      <c r="O168" s="49">
        <f>N168-G168</f>
        <v>-3530773.5627691448</v>
      </c>
      <c r="P168" s="110">
        <f>O168/G168</f>
        <v>-3.0103631856479886E-2</v>
      </c>
      <c r="Q168" s="13">
        <f t="shared" si="9"/>
        <v>3.0103631856479886E-2</v>
      </c>
      <c r="R168" s="13"/>
      <c r="S168" s="13"/>
    </row>
    <row r="169" spans="1:19">
      <c r="A169" s="50">
        <f t="shared" si="10"/>
        <v>40147</v>
      </c>
      <c r="B169" s="161">
        <v>117285788.90000001</v>
      </c>
      <c r="D169" s="161">
        <v>2430</v>
      </c>
      <c r="F169" s="161">
        <v>177093.3848852407</v>
      </c>
      <c r="G169" s="10">
        <f t="shared" si="8"/>
        <v>117111125.51511477</v>
      </c>
      <c r="H169" s="1">
        <v>396.5</v>
      </c>
      <c r="I169" s="1">
        <v>0</v>
      </c>
      <c r="J169" s="10">
        <v>30</v>
      </c>
      <c r="K169" s="10">
        <v>1</v>
      </c>
      <c r="L169" s="163">
        <v>259.39999999999998</v>
      </c>
      <c r="M169" s="21">
        <v>320</v>
      </c>
      <c r="N169" s="265">
        <f>$W$18+$W$19*H169+$W$20*I169+$W$21*J169+$W$22*K169+$W$23*L169+$W$24*M169</f>
        <v>112403734.71184573</v>
      </c>
      <c r="O169" s="49">
        <f>N169-G169</f>
        <v>-4707390.8032690436</v>
      </c>
      <c r="P169" s="110">
        <f>O169/G169</f>
        <v>-4.0195931706432889E-2</v>
      </c>
      <c r="Q169" s="13">
        <f t="shared" si="9"/>
        <v>4.0195931706432889E-2</v>
      </c>
      <c r="R169" s="13"/>
      <c r="S169" s="13"/>
    </row>
    <row r="170" spans="1:19">
      <c r="A170" s="50">
        <f t="shared" si="10"/>
        <v>40178</v>
      </c>
      <c r="B170" s="161">
        <v>129320399.90000001</v>
      </c>
      <c r="D170" s="161">
        <v>6003</v>
      </c>
      <c r="F170" s="161">
        <v>195264.81057760902</v>
      </c>
      <c r="G170" s="10">
        <f t="shared" si="8"/>
        <v>129131138.08942239</v>
      </c>
      <c r="H170" s="1">
        <v>669.5</v>
      </c>
      <c r="I170" s="1">
        <v>0</v>
      </c>
      <c r="J170" s="10">
        <v>31</v>
      </c>
      <c r="K170" s="10">
        <v>0</v>
      </c>
      <c r="L170" s="163">
        <v>258</v>
      </c>
      <c r="M170" s="21">
        <v>352</v>
      </c>
      <c r="N170" s="265">
        <f>$W$18+$W$19*H170+$W$20*I170+$W$21*J170+$W$22*K170+$W$23*L170+$W$24*M170</f>
        <v>125286565.34750508</v>
      </c>
      <c r="O170" s="49">
        <f>N170-G170</f>
        <v>-3844572.7419173121</v>
      </c>
      <c r="P170" s="110">
        <f>O170/G170</f>
        <v>-2.9772623387358151E-2</v>
      </c>
      <c r="Q170" s="13">
        <f t="shared" si="9"/>
        <v>2.9772623387358151E-2</v>
      </c>
      <c r="R170" s="13"/>
      <c r="S170" s="13"/>
    </row>
    <row r="171" spans="1:19">
      <c r="A171" s="50">
        <f>EOMONTH(A170,1)</f>
        <v>40209</v>
      </c>
      <c r="B171" s="161">
        <v>133979177</v>
      </c>
      <c r="D171" s="161">
        <v>7400.57</v>
      </c>
      <c r="F171" s="162">
        <v>251570.11614636646</v>
      </c>
      <c r="G171" s="10">
        <f t="shared" si="8"/>
        <v>133735007.45385362</v>
      </c>
      <c r="H171" s="1">
        <v>721.1</v>
      </c>
      <c r="I171" s="1">
        <v>0</v>
      </c>
      <c r="J171" s="10">
        <v>31</v>
      </c>
      <c r="K171" s="10">
        <v>0</v>
      </c>
      <c r="L171" s="163">
        <v>252.8</v>
      </c>
      <c r="M171" s="200">
        <v>320</v>
      </c>
      <c r="N171" s="265">
        <f>$W$18+$W$19*H171+$W$20*I171+$W$21*J171+$W$22*K171+$W$23*L171+$W$24*M171</f>
        <v>122331599.15970007</v>
      </c>
      <c r="O171" s="49">
        <f>N171-G171</f>
        <v>-11403408.294153556</v>
      </c>
      <c r="P171" s="110">
        <f>O171/G171</f>
        <v>-8.5268685524157894E-2</v>
      </c>
      <c r="Q171" s="13">
        <f t="shared" si="9"/>
        <v>8.5268685524157894E-2</v>
      </c>
      <c r="R171" s="13"/>
      <c r="S171" s="13"/>
    </row>
    <row r="172" spans="1:19">
      <c r="A172" s="50">
        <f t="shared" si="10"/>
        <v>40237</v>
      </c>
      <c r="B172" s="161">
        <v>119946771</v>
      </c>
      <c r="D172" s="161">
        <v>5836.05</v>
      </c>
      <c r="F172" s="162">
        <v>225221.73809032745</v>
      </c>
      <c r="G172" s="10">
        <f t="shared" si="8"/>
        <v>119727385.31190968</v>
      </c>
      <c r="H172" s="1">
        <v>644.70000000000005</v>
      </c>
      <c r="I172" s="1">
        <v>0</v>
      </c>
      <c r="J172" s="10">
        <v>28</v>
      </c>
      <c r="K172" s="10">
        <v>0</v>
      </c>
      <c r="L172" s="163">
        <v>250.9</v>
      </c>
      <c r="M172" s="200">
        <v>304</v>
      </c>
      <c r="N172" s="265">
        <f>$W$18+$W$19*H172+$W$20*I172+$W$21*J172+$W$22*K172+$W$23*L172+$W$24*M172</f>
        <v>112581557.03273919</v>
      </c>
      <c r="O172" s="49">
        <f>N172-G172</f>
        <v>-7145828.2791704834</v>
      </c>
      <c r="P172" s="110">
        <f>O172/G172</f>
        <v>-5.968415881257589E-2</v>
      </c>
      <c r="Q172" s="13">
        <f t="shared" si="9"/>
        <v>5.968415881257589E-2</v>
      </c>
      <c r="R172" s="13"/>
      <c r="S172" s="13"/>
    </row>
    <row r="173" spans="1:19">
      <c r="A173" s="50">
        <f t="shared" si="10"/>
        <v>40268</v>
      </c>
      <c r="B173" s="161">
        <v>123452454</v>
      </c>
      <c r="D173" s="161">
        <v>5028.53</v>
      </c>
      <c r="F173" s="162">
        <v>231804.2914335409</v>
      </c>
      <c r="G173" s="10">
        <f t="shared" si="8"/>
        <v>123225678.23856646</v>
      </c>
      <c r="H173" s="1">
        <v>470.9</v>
      </c>
      <c r="I173" s="1">
        <v>0</v>
      </c>
      <c r="J173" s="10">
        <v>31</v>
      </c>
      <c r="K173" s="10">
        <v>1</v>
      </c>
      <c r="L173" s="163">
        <v>252.1</v>
      </c>
      <c r="M173" s="200">
        <v>368</v>
      </c>
      <c r="N173" s="265">
        <f>$W$18+$W$19*H173+$W$20*I173+$W$21*J173+$W$22*K173+$W$23*L173+$W$24*M173</f>
        <v>116313808.31265908</v>
      </c>
      <c r="O173" s="49">
        <f>N173-G173</f>
        <v>-6911869.9259073734</v>
      </c>
      <c r="P173" s="110">
        <f>O173/G173</f>
        <v>-5.609114938305234E-2</v>
      </c>
      <c r="Q173" s="13">
        <f t="shared" si="9"/>
        <v>5.609114938305234E-2</v>
      </c>
      <c r="R173" s="13"/>
      <c r="S173" s="13"/>
    </row>
    <row r="174" spans="1:19">
      <c r="A174" s="50">
        <f t="shared" si="10"/>
        <v>40298</v>
      </c>
      <c r="B174" s="161">
        <v>109614094</v>
      </c>
      <c r="D174" s="161">
        <v>7763.33</v>
      </c>
      <c r="F174" s="162">
        <v>205820.26980848474</v>
      </c>
      <c r="G174" s="10">
        <f t="shared" si="8"/>
        <v>109416037.06019151</v>
      </c>
      <c r="H174" s="1">
        <v>260.60000000000002</v>
      </c>
      <c r="I174" s="1">
        <v>0</v>
      </c>
      <c r="J174" s="10">
        <v>30</v>
      </c>
      <c r="K174" s="10">
        <v>1</v>
      </c>
      <c r="L174" s="163">
        <v>255.5</v>
      </c>
      <c r="M174" s="200">
        <v>320</v>
      </c>
      <c r="N174" s="265">
        <f>$W$18+$W$19*H174+$W$20*I174+$W$21*J174+$W$22*K174+$W$23*L174+$W$24*M174</f>
        <v>106906728.68701541</v>
      </c>
      <c r="O174" s="49">
        <f>N174-G174</f>
        <v>-2509308.3731760979</v>
      </c>
      <c r="P174" s="110">
        <f>O174/G174</f>
        <v>-2.2933643372549557E-2</v>
      </c>
      <c r="Q174" s="13">
        <f t="shared" si="9"/>
        <v>2.2933643372549557E-2</v>
      </c>
      <c r="R174" s="13"/>
      <c r="S174" s="13"/>
    </row>
    <row r="175" spans="1:19">
      <c r="A175" s="50">
        <f t="shared" si="10"/>
        <v>40329</v>
      </c>
      <c r="B175" s="161">
        <v>117656799</v>
      </c>
      <c r="D175" s="161">
        <v>7340.97</v>
      </c>
      <c r="F175" s="162">
        <v>220921.90184031127</v>
      </c>
      <c r="G175" s="10">
        <f t="shared" si="8"/>
        <v>117443218.06815968</v>
      </c>
      <c r="H175" s="1">
        <v>144.69999999999999</v>
      </c>
      <c r="I175" s="1">
        <v>21</v>
      </c>
      <c r="J175" s="10">
        <v>31</v>
      </c>
      <c r="K175" s="10">
        <v>1</v>
      </c>
      <c r="L175" s="163">
        <v>261.10000000000002</v>
      </c>
      <c r="M175" s="200">
        <v>320</v>
      </c>
      <c r="N175" s="265">
        <f>$W$18+$W$19*H175+$W$20*I175+$W$21*J175+$W$22*K175+$W$23*L175+$W$24*M175</f>
        <v>111854575.25022998</v>
      </c>
      <c r="O175" s="49">
        <f>N175-G175</f>
        <v>-5588642.8179297</v>
      </c>
      <c r="P175" s="110">
        <f>O175/G175</f>
        <v>-4.7585913515127448E-2</v>
      </c>
      <c r="Q175" s="13">
        <f t="shared" si="9"/>
        <v>4.7585913515127448E-2</v>
      </c>
      <c r="R175" s="13"/>
      <c r="S175" s="13"/>
    </row>
    <row r="176" spans="1:19">
      <c r="A176" s="50">
        <f t="shared" si="10"/>
        <v>40359</v>
      </c>
      <c r="B176" s="161">
        <v>120954770</v>
      </c>
      <c r="D176" s="161">
        <v>5298.36</v>
      </c>
      <c r="F176" s="162">
        <v>227114.43836796403</v>
      </c>
      <c r="G176" s="10">
        <f t="shared" si="8"/>
        <v>120732953.92163204</v>
      </c>
      <c r="H176" s="1">
        <v>37.700000000000003</v>
      </c>
      <c r="I176" s="1">
        <v>32.6</v>
      </c>
      <c r="J176" s="10">
        <v>30</v>
      </c>
      <c r="K176" s="10">
        <v>0</v>
      </c>
      <c r="L176" s="163">
        <v>267.2</v>
      </c>
      <c r="M176" s="200">
        <v>352</v>
      </c>
      <c r="N176" s="265">
        <f>$W$18+$W$19*H176+$W$20*I176+$W$21*J176+$W$22*K176+$W$23*L176+$W$24*M176</f>
        <v>115745186.11394317</v>
      </c>
      <c r="O176" s="49">
        <f>N176-G176</f>
        <v>-4987767.8076888621</v>
      </c>
      <c r="P176" s="110">
        <f>O176/G176</f>
        <v>-4.1312397698199534E-2</v>
      </c>
      <c r="Q176" s="13">
        <f t="shared" si="9"/>
        <v>4.1312397698199534E-2</v>
      </c>
      <c r="R176" s="13"/>
      <c r="S176" s="13"/>
    </row>
    <row r="177" spans="1:19">
      <c r="A177" s="50">
        <f t="shared" si="10"/>
        <v>40390</v>
      </c>
      <c r="B177" s="161">
        <v>135775256</v>
      </c>
      <c r="D177" s="161">
        <v>2287.8200000000002</v>
      </c>
      <c r="F177" s="162">
        <v>254942.57903765628</v>
      </c>
      <c r="G177" s="10">
        <f t="shared" si="8"/>
        <v>135522601.24096233</v>
      </c>
      <c r="H177" s="1">
        <v>6.7</v>
      </c>
      <c r="I177" s="1">
        <v>106.6</v>
      </c>
      <c r="J177" s="10">
        <v>31</v>
      </c>
      <c r="K177" s="10">
        <v>0</v>
      </c>
      <c r="L177" s="163">
        <v>273.5</v>
      </c>
      <c r="M177" s="200">
        <v>336</v>
      </c>
      <c r="N177" s="265">
        <f>$W$18+$W$19*H177+$W$20*I177+$W$21*J177+$W$22*K177+$W$23*L177+$W$24*M177</f>
        <v>131873702.98584311</v>
      </c>
      <c r="O177" s="49">
        <f>N177-G177</f>
        <v>-3648898.2551192194</v>
      </c>
      <c r="P177" s="110">
        <f>O177/G177</f>
        <v>-2.6924647414576952E-2</v>
      </c>
      <c r="Q177" s="13">
        <f t="shared" si="9"/>
        <v>2.6924647414576952E-2</v>
      </c>
      <c r="R177" s="13"/>
      <c r="S177" s="13"/>
    </row>
    <row r="178" spans="1:19">
      <c r="A178" s="50">
        <f t="shared" si="10"/>
        <v>40421</v>
      </c>
      <c r="B178" s="161">
        <v>132798939</v>
      </c>
      <c r="D178" s="161">
        <v>31996</v>
      </c>
      <c r="F178" s="162">
        <v>249354.00602098217</v>
      </c>
      <c r="G178" s="10">
        <f t="shared" si="8"/>
        <v>132581580.99397902</v>
      </c>
      <c r="H178" s="1">
        <v>14.2</v>
      </c>
      <c r="I178" s="1">
        <v>85.3</v>
      </c>
      <c r="J178" s="10">
        <v>31</v>
      </c>
      <c r="K178" s="10">
        <v>0</v>
      </c>
      <c r="L178" s="163">
        <v>274.10000000000002</v>
      </c>
      <c r="M178" s="200">
        <v>336</v>
      </c>
      <c r="N178" s="265">
        <f>$W$18+$W$19*H178+$W$20*I178+$W$21*J178+$W$22*K178+$W$23*L178+$W$24*M178</f>
        <v>128504374.0810001</v>
      </c>
      <c r="O178" s="49">
        <f>N178-G178</f>
        <v>-4077206.9129789174</v>
      </c>
      <c r="P178" s="110">
        <f>O178/G178</f>
        <v>-3.0752438479098216E-2</v>
      </c>
      <c r="Q178" s="13">
        <f t="shared" si="9"/>
        <v>3.0752438479098216E-2</v>
      </c>
      <c r="R178" s="13"/>
      <c r="S178" s="13"/>
    </row>
    <row r="179" spans="1:19">
      <c r="A179" s="50">
        <f t="shared" si="10"/>
        <v>40451</v>
      </c>
      <c r="B179" s="161">
        <v>116946781</v>
      </c>
      <c r="D179" s="161">
        <v>21551.63</v>
      </c>
      <c r="F179" s="162">
        <v>219588.71473821398</v>
      </c>
      <c r="G179" s="10">
        <f t="shared" si="8"/>
        <v>116748743.91526178</v>
      </c>
      <c r="H179" s="1">
        <v>122.7</v>
      </c>
      <c r="I179" s="1">
        <v>23</v>
      </c>
      <c r="J179" s="10">
        <v>30</v>
      </c>
      <c r="K179" s="10">
        <v>1</v>
      </c>
      <c r="L179" s="163">
        <v>270.39999999999998</v>
      </c>
      <c r="M179" s="200">
        <v>336</v>
      </c>
      <c r="N179" s="265">
        <f>$W$18+$W$19*H179+$W$20*I179+$W$21*J179+$W$22*K179+$W$23*L179+$W$24*M179</f>
        <v>114838344.06006952</v>
      </c>
      <c r="O179" s="49">
        <f>N179-G179</f>
        <v>-1910399.855192259</v>
      </c>
      <c r="P179" s="110">
        <f>O179/G179</f>
        <v>-1.6363343973780649E-2</v>
      </c>
      <c r="Q179" s="13">
        <f t="shared" si="9"/>
        <v>1.6363343973780649E-2</v>
      </c>
      <c r="R179" s="13"/>
      <c r="S179" s="13"/>
    </row>
    <row r="180" spans="1:19">
      <c r="A180" s="50">
        <f t="shared" si="10"/>
        <v>40482</v>
      </c>
      <c r="B180" s="161">
        <v>116794004</v>
      </c>
      <c r="D180" s="161">
        <v>33695.379999999997</v>
      </c>
      <c r="F180" s="162">
        <v>219301.8483124373</v>
      </c>
      <c r="G180" s="10">
        <f t="shared" si="8"/>
        <v>116608397.53168756</v>
      </c>
      <c r="H180" s="1">
        <v>284.60000000000002</v>
      </c>
      <c r="I180" s="1">
        <v>0</v>
      </c>
      <c r="J180" s="10">
        <v>31</v>
      </c>
      <c r="K180" s="10">
        <v>1</v>
      </c>
      <c r="L180" s="163">
        <v>264.89999999999998</v>
      </c>
      <c r="M180" s="200">
        <v>320</v>
      </c>
      <c r="N180" s="265">
        <f>$W$18+$W$19*H180+$W$20*I180+$W$21*J180+$W$22*K180+$W$23*L180+$W$24*M180</f>
        <v>113630527.74576524</v>
      </c>
      <c r="O180" s="49">
        <f>N180-G180</f>
        <v>-2977869.7859223187</v>
      </c>
      <c r="P180" s="110">
        <f>O180/G180</f>
        <v>-2.5537352788962752E-2</v>
      </c>
      <c r="Q180" s="13">
        <f t="shared" si="9"/>
        <v>2.5537352788962752E-2</v>
      </c>
      <c r="R180" s="13"/>
      <c r="S180" s="13"/>
    </row>
    <row r="181" spans="1:19">
      <c r="A181" s="50">
        <f t="shared" si="10"/>
        <v>40512</v>
      </c>
      <c r="B181" s="161">
        <v>121142765</v>
      </c>
      <c r="D181" s="161">
        <v>26466.9</v>
      </c>
      <c r="F181" s="162">
        <v>227467.4329529728</v>
      </c>
      <c r="G181" s="10">
        <f t="shared" si="8"/>
        <v>120941764.46704704</v>
      </c>
      <c r="H181" s="1">
        <v>424.1</v>
      </c>
      <c r="I181" s="1">
        <v>0</v>
      </c>
      <c r="J181" s="10">
        <v>30</v>
      </c>
      <c r="K181" s="10">
        <v>1</v>
      </c>
      <c r="L181" s="163">
        <v>263.89999999999998</v>
      </c>
      <c r="M181" s="200">
        <v>336</v>
      </c>
      <c r="N181" s="265">
        <f>$W$18+$W$19*H181+$W$20*I181+$W$21*J181+$W$22*K181+$W$23*L181+$W$24*M181</f>
        <v>116203195.88119812</v>
      </c>
      <c r="O181" s="49">
        <f>N181-G181</f>
        <v>-4738568.5858489126</v>
      </c>
      <c r="P181" s="110">
        <f>O181/G181</f>
        <v>-3.9180580891392806E-2</v>
      </c>
      <c r="Q181" s="13">
        <f t="shared" si="9"/>
        <v>3.9180580891392806E-2</v>
      </c>
      <c r="R181" s="13"/>
      <c r="S181" s="13"/>
    </row>
    <row r="182" spans="1:19">
      <c r="A182" s="50">
        <f t="shared" si="10"/>
        <v>40543</v>
      </c>
      <c r="B182" s="161">
        <v>132686798</v>
      </c>
      <c r="D182" s="161">
        <v>8842.7000000000007</v>
      </c>
      <c r="F182" s="162">
        <v>249143.44102852239</v>
      </c>
      <c r="G182" s="10">
        <f t="shared" si="8"/>
        <v>132446497.25897148</v>
      </c>
      <c r="H182" s="1">
        <v>719.4</v>
      </c>
      <c r="I182" s="1">
        <v>0</v>
      </c>
      <c r="J182" s="10">
        <v>31</v>
      </c>
      <c r="K182" s="10">
        <v>0</v>
      </c>
      <c r="L182" s="163">
        <v>265.3</v>
      </c>
      <c r="M182" s="200">
        <v>368</v>
      </c>
      <c r="N182" s="265">
        <f>$W$18+$W$19*H182+$W$20*I182+$W$21*J182+$W$22*K182+$W$23*L182+$W$24*M182</f>
        <v>130940129.99008578</v>
      </c>
      <c r="O182" s="49">
        <f>N182-G182</f>
        <v>-1506367.2688857019</v>
      </c>
      <c r="P182" s="110">
        <f>O182/G182</f>
        <v>-1.1373402091112421E-2</v>
      </c>
      <c r="Q182" s="13">
        <f t="shared" si="9"/>
        <v>1.1373402091112421E-2</v>
      </c>
      <c r="R182" s="13"/>
      <c r="S182" s="13"/>
    </row>
    <row r="183" spans="1:19">
      <c r="A183" s="50">
        <f t="shared" si="10"/>
        <v>40574</v>
      </c>
      <c r="B183" s="161">
        <v>136994789</v>
      </c>
      <c r="D183" s="161">
        <v>17067.150000000001</v>
      </c>
      <c r="F183" s="162">
        <v>62828.275482695193</v>
      </c>
      <c r="G183" s="10">
        <f t="shared" si="8"/>
        <v>136949027.87451732</v>
      </c>
      <c r="H183" s="21">
        <v>822</v>
      </c>
      <c r="I183" s="21">
        <v>0</v>
      </c>
      <c r="J183" s="10">
        <v>31</v>
      </c>
      <c r="K183" s="10">
        <v>0</v>
      </c>
      <c r="L183" s="163">
        <v>267.60000000000002</v>
      </c>
      <c r="M183" s="200">
        <v>336</v>
      </c>
      <c r="N183" s="265">
        <f>$W$18+$W$19*H183+$W$20*I183+$W$21*J183+$W$22*K183+$W$23*L183+$W$24*M183</f>
        <v>132708761.10071631</v>
      </c>
      <c r="O183" s="49">
        <f>N183-G183</f>
        <v>-4240266.7738010138</v>
      </c>
      <c r="P183" s="110">
        <f>O183/G183</f>
        <v>-3.0962372202351485E-2</v>
      </c>
      <c r="Q183" s="13">
        <f t="shared" si="9"/>
        <v>3.0962372202351485E-2</v>
      </c>
    </row>
    <row r="184" spans="1:19">
      <c r="A184" s="50">
        <f t="shared" si="10"/>
        <v>40602</v>
      </c>
      <c r="B184" s="161">
        <v>122135594</v>
      </c>
      <c r="D184" s="161">
        <v>32586.51</v>
      </c>
      <c r="F184" s="162">
        <v>56013.581261653788</v>
      </c>
      <c r="G184" s="10">
        <f t="shared" si="8"/>
        <v>122112166.92873836</v>
      </c>
      <c r="H184" s="21">
        <v>689.3</v>
      </c>
      <c r="I184" s="21">
        <v>0</v>
      </c>
      <c r="J184" s="10">
        <v>29</v>
      </c>
      <c r="K184" s="10">
        <v>0</v>
      </c>
      <c r="L184" s="163">
        <v>270.60000000000002</v>
      </c>
      <c r="M184" s="200">
        <v>304</v>
      </c>
      <c r="N184" s="265">
        <f>$W$18+$W$19*H184+$W$20*I184+$W$21*J184+$W$22*K184+$W$23*L184+$W$24*M184</f>
        <v>124418010.62853748</v>
      </c>
      <c r="O184" s="49">
        <f>N184-G184</f>
        <v>2305843.6997991204</v>
      </c>
      <c r="P184" s="110">
        <f>O184/G184</f>
        <v>1.8882997147571329E-2</v>
      </c>
      <c r="Q184" s="13">
        <f t="shared" si="9"/>
        <v>1.8882997147571329E-2</v>
      </c>
    </row>
    <row r="185" spans="1:19">
      <c r="A185" s="50">
        <f t="shared" si="10"/>
        <v>40633</v>
      </c>
      <c r="B185" s="161">
        <v>130238805</v>
      </c>
      <c r="D185" s="161">
        <v>68579.12</v>
      </c>
      <c r="F185" s="162">
        <v>59729.859645077595</v>
      </c>
      <c r="G185" s="10">
        <f t="shared" si="8"/>
        <v>130247654.26035492</v>
      </c>
      <c r="H185" s="21">
        <v>622.29999999999995</v>
      </c>
      <c r="I185" s="21">
        <v>0</v>
      </c>
      <c r="J185" s="10">
        <v>31</v>
      </c>
      <c r="K185" s="10">
        <v>1</v>
      </c>
      <c r="L185" s="163">
        <v>273.3</v>
      </c>
      <c r="M185" s="200">
        <v>368</v>
      </c>
      <c r="N185" s="265">
        <f>$W$18+$W$19*H185+$W$20*I185+$W$21*J185+$W$22*K185+$W$23*L185+$W$24*M185</f>
        <v>129867113.45179561</v>
      </c>
      <c r="O185" s="49">
        <f>N185-G185</f>
        <v>-380540.80855931342</v>
      </c>
      <c r="P185" s="110">
        <f>O185/G185</f>
        <v>-2.921671109704916E-3</v>
      </c>
      <c r="Q185" s="13">
        <f t="shared" si="9"/>
        <v>2.921671109704916E-3</v>
      </c>
    </row>
    <row r="186" spans="1:19">
      <c r="A186" s="50">
        <f t="shared" si="10"/>
        <v>40663</v>
      </c>
      <c r="B186" s="161">
        <v>114649106</v>
      </c>
      <c r="D186" s="161">
        <v>88855.08</v>
      </c>
      <c r="F186" s="162">
        <v>52580.143144077716</v>
      </c>
      <c r="G186" s="10">
        <f t="shared" si="8"/>
        <v>114685380.93685593</v>
      </c>
      <c r="H186" s="21">
        <v>349.6</v>
      </c>
      <c r="I186" s="21">
        <v>0</v>
      </c>
      <c r="J186" s="10">
        <v>30</v>
      </c>
      <c r="K186" s="10">
        <v>1</v>
      </c>
      <c r="L186" s="163">
        <v>276.39999999999998</v>
      </c>
      <c r="M186" s="200">
        <v>320</v>
      </c>
      <c r="N186" s="265">
        <f>$W$18+$W$19*H186+$W$20*I186+$W$21*J186+$W$22*K186+$W$23*L186+$W$24*M186</f>
        <v>118593097.70041218</v>
      </c>
      <c r="O186" s="49">
        <f>N186-G186</f>
        <v>3907716.7635562569</v>
      </c>
      <c r="P186" s="110">
        <f>O186/G186</f>
        <v>3.4073364291371956E-2</v>
      </c>
      <c r="Q186" s="13">
        <f t="shared" si="9"/>
        <v>3.4073364291371956E-2</v>
      </c>
    </row>
    <row r="187" spans="1:19">
      <c r="A187" s="50">
        <f t="shared" si="10"/>
        <v>40694</v>
      </c>
      <c r="B187" s="161">
        <v>115314928</v>
      </c>
      <c r="D187" s="161">
        <v>92813.42</v>
      </c>
      <c r="F187" s="162">
        <v>52885.501094871295</v>
      </c>
      <c r="G187" s="10">
        <f t="shared" si="8"/>
        <v>115354855.91890512</v>
      </c>
      <c r="H187" s="21">
        <v>156.69999999999999</v>
      </c>
      <c r="I187" s="21">
        <v>13.2</v>
      </c>
      <c r="J187" s="10">
        <v>31</v>
      </c>
      <c r="K187" s="10">
        <v>1</v>
      </c>
      <c r="L187" s="163">
        <v>277</v>
      </c>
      <c r="M187" s="200">
        <v>336</v>
      </c>
      <c r="N187" s="265">
        <f>$W$18+$W$19*H187+$W$20*I187+$W$21*J187+$W$22*K187+$W$23*L187+$W$24*M187</f>
        <v>118838156.20428398</v>
      </c>
      <c r="O187" s="49">
        <f>N187-G187</f>
        <v>3483300.2853788584</v>
      </c>
      <c r="P187" s="110">
        <f>O187/G187</f>
        <v>3.0196390586518795E-2</v>
      </c>
      <c r="Q187" s="13">
        <f t="shared" si="9"/>
        <v>3.0196390586518795E-2</v>
      </c>
    </row>
    <row r="188" spans="1:19">
      <c r="A188" s="50">
        <f t="shared" si="10"/>
        <v>40724</v>
      </c>
      <c r="B188" s="161">
        <v>119042433</v>
      </c>
      <c r="D188" s="161">
        <v>166961.99</v>
      </c>
      <c r="F188" s="162">
        <v>54595.001965033029</v>
      </c>
      <c r="G188" s="10">
        <f t="shared" si="8"/>
        <v>119154799.98803496</v>
      </c>
      <c r="H188" s="21">
        <v>48.5</v>
      </c>
      <c r="I188" s="21">
        <v>21.6</v>
      </c>
      <c r="J188" s="10">
        <v>30</v>
      </c>
      <c r="K188" s="10">
        <v>0</v>
      </c>
      <c r="L188" s="163">
        <v>280.60000000000002</v>
      </c>
      <c r="M188" s="200">
        <v>352</v>
      </c>
      <c r="N188" s="265">
        <f>$W$18+$W$19*H188+$W$20*I188+$W$21*J188+$W$22*K188+$W$23*L188+$W$24*M188</f>
        <v>119967522.7857576</v>
      </c>
      <c r="O188" s="49">
        <f>N188-G188</f>
        <v>812722.79772263765</v>
      </c>
      <c r="P188" s="110">
        <f>O188/G188</f>
        <v>6.8207306613266771E-3</v>
      </c>
      <c r="Q188" s="13">
        <f t="shared" si="9"/>
        <v>6.8207306613266771E-3</v>
      </c>
    </row>
    <row r="189" spans="1:19">
      <c r="A189" s="50">
        <f t="shared" si="10"/>
        <v>40755</v>
      </c>
      <c r="B189" s="161">
        <v>138200903</v>
      </c>
      <c r="D189" s="161">
        <v>177167.57</v>
      </c>
      <c r="F189" s="162">
        <v>63381.42106734612</v>
      </c>
      <c r="G189" s="10">
        <f t="shared" si="8"/>
        <v>138314689.14893264</v>
      </c>
      <c r="H189" s="21">
        <v>0.8</v>
      </c>
      <c r="I189" s="21">
        <v>129.69999999999999</v>
      </c>
      <c r="J189" s="10">
        <v>31</v>
      </c>
      <c r="K189" s="10">
        <v>0</v>
      </c>
      <c r="L189" s="163">
        <v>283.2</v>
      </c>
      <c r="M189" s="200">
        <v>320</v>
      </c>
      <c r="N189" s="265">
        <f>$W$18+$W$19*H189+$W$20*I189+$W$21*J189+$W$22*K189+$W$23*L189+$W$24*M189</f>
        <v>139103490.09900847</v>
      </c>
      <c r="O189" s="49">
        <f>N189-G189</f>
        <v>788800.95007583499</v>
      </c>
      <c r="P189" s="110">
        <f>O189/G189</f>
        <v>5.7029441697727451E-3</v>
      </c>
      <c r="Q189" s="13">
        <f t="shared" si="9"/>
        <v>5.7029441697727451E-3</v>
      </c>
    </row>
    <row r="190" spans="1:19">
      <c r="A190" s="50">
        <f t="shared" si="10"/>
        <v>40786</v>
      </c>
      <c r="B190" s="161">
        <v>129680676</v>
      </c>
      <c r="D190" s="161">
        <v>212743.12</v>
      </c>
      <c r="F190" s="162">
        <v>59473.891642040049</v>
      </c>
      <c r="G190" s="10">
        <f t="shared" si="8"/>
        <v>129833945.22835797</v>
      </c>
      <c r="H190" s="21">
        <v>6.9</v>
      </c>
      <c r="I190" s="21">
        <v>60.1</v>
      </c>
      <c r="J190" s="10">
        <v>31</v>
      </c>
      <c r="K190" s="10">
        <v>0</v>
      </c>
      <c r="L190" s="163">
        <v>282.3</v>
      </c>
      <c r="M190" s="200">
        <v>352</v>
      </c>
      <c r="N190" s="265">
        <f>$W$18+$W$19*H190+$W$20*I190+$W$21*J190+$W$22*K190+$W$23*L190+$W$24*M190</f>
        <v>128418680.92728643</v>
      </c>
      <c r="O190" s="49">
        <f>N190-G190</f>
        <v>-1415264.3010715395</v>
      </c>
      <c r="P190" s="110">
        <f>O190/G190</f>
        <v>-1.0900572254677365E-2</v>
      </c>
      <c r="Q190" s="13">
        <f t="shared" si="9"/>
        <v>1.0900572254677365E-2</v>
      </c>
    </row>
    <row r="191" spans="1:19">
      <c r="A191" s="50">
        <f t="shared" si="10"/>
        <v>40816</v>
      </c>
      <c r="B191" s="161">
        <v>118359468</v>
      </c>
      <c r="D191" s="161">
        <v>149717.82999999999</v>
      </c>
      <c r="F191" s="162">
        <v>54281.7819259479</v>
      </c>
      <c r="G191" s="10">
        <f t="shared" si="8"/>
        <v>118454904.04807405</v>
      </c>
      <c r="H191" s="21">
        <v>98.4</v>
      </c>
      <c r="I191" s="21">
        <v>19.7</v>
      </c>
      <c r="J191" s="10">
        <v>30</v>
      </c>
      <c r="K191" s="10">
        <v>1</v>
      </c>
      <c r="L191" s="163">
        <v>276.60000000000002</v>
      </c>
      <c r="M191" s="200">
        <v>336</v>
      </c>
      <c r="N191" s="265">
        <f>$W$18+$W$19*H191+$W$20*I191+$W$21*J191+$W$22*K191+$W$23*L191+$W$24*M191</f>
        <v>116300329.20861883</v>
      </c>
      <c r="O191" s="49">
        <f>N191-G191</f>
        <v>-2154574.8394552171</v>
      </c>
      <c r="P191" s="110">
        <f>O191/G191</f>
        <v>-1.8188988094412696E-2</v>
      </c>
      <c r="Q191" s="13">
        <f t="shared" si="9"/>
        <v>1.8188988094412696E-2</v>
      </c>
    </row>
    <row r="192" spans="1:19">
      <c r="A192" s="50">
        <f t="shared" si="10"/>
        <v>40847</v>
      </c>
      <c r="B192" s="161">
        <v>117222379</v>
      </c>
      <c r="D192" s="161">
        <v>125527.19</v>
      </c>
      <c r="F192" s="162">
        <v>53760.292448414984</v>
      </c>
      <c r="G192" s="10">
        <f t="shared" si="8"/>
        <v>117294145.89755158</v>
      </c>
      <c r="H192" s="21">
        <v>279.89999999999998</v>
      </c>
      <c r="I192" s="21">
        <v>0</v>
      </c>
      <c r="J192" s="10">
        <v>31</v>
      </c>
      <c r="K192" s="10">
        <v>1</v>
      </c>
      <c r="L192" s="163">
        <v>272.2</v>
      </c>
      <c r="M192" s="200">
        <v>320</v>
      </c>
      <c r="N192" s="265">
        <f>$W$18+$W$19*H192+$W$20*I192+$W$21*J192+$W$22*K192+$W$23*L192+$W$24*M192</f>
        <v>116717524.64333293</v>
      </c>
      <c r="O192" s="49">
        <f>N192-G192</f>
        <v>-576621.25421865284</v>
      </c>
      <c r="P192" s="110">
        <f>O192/G192</f>
        <v>-4.9160275630660381E-3</v>
      </c>
      <c r="Q192" s="13">
        <f t="shared" si="9"/>
        <v>4.9160275630660381E-3</v>
      </c>
    </row>
    <row r="193" spans="1:17">
      <c r="A193" s="50">
        <f t="shared" si="10"/>
        <v>40877</v>
      </c>
      <c r="B193" s="161">
        <v>119814510</v>
      </c>
      <c r="D193" s="161">
        <v>107275.55</v>
      </c>
      <c r="F193" s="162">
        <v>54949.090370905556</v>
      </c>
      <c r="G193" s="10">
        <f t="shared" si="8"/>
        <v>119866836.45962909</v>
      </c>
      <c r="H193" s="21">
        <v>382.4</v>
      </c>
      <c r="I193" s="21">
        <v>0</v>
      </c>
      <c r="J193" s="10">
        <v>30</v>
      </c>
      <c r="K193" s="10">
        <v>1</v>
      </c>
      <c r="L193" s="163">
        <v>270.39999999999998</v>
      </c>
      <c r="M193" s="200">
        <v>352</v>
      </c>
      <c r="N193" s="265">
        <f>$W$18+$W$19*H193+$W$20*I193+$W$21*J193+$W$22*K193+$W$23*L193+$W$24*M193</f>
        <v>118957684.65050752</v>
      </c>
      <c r="O193" s="49">
        <f>N193-G193</f>
        <v>-909151.80912156403</v>
      </c>
      <c r="P193" s="110">
        <f>O193/G193</f>
        <v>-7.584681768320169E-3</v>
      </c>
      <c r="Q193" s="13">
        <f t="shared" si="9"/>
        <v>7.584681768320169E-3</v>
      </c>
    </row>
    <row r="194" spans="1:17">
      <c r="A194" s="50">
        <f t="shared" si="10"/>
        <v>40908</v>
      </c>
      <c r="B194" s="161">
        <v>126569739</v>
      </c>
      <c r="D194" s="161">
        <v>61882.26</v>
      </c>
      <c r="F194" s="162">
        <v>58047.159951936781</v>
      </c>
      <c r="G194" s="10">
        <f t="shared" si="8"/>
        <v>126573574.10004807</v>
      </c>
      <c r="H194" s="21">
        <v>574.79999999999995</v>
      </c>
      <c r="I194" s="21">
        <v>0</v>
      </c>
      <c r="J194" s="10">
        <v>31</v>
      </c>
      <c r="K194" s="10">
        <v>0</v>
      </c>
      <c r="L194" s="163">
        <v>274</v>
      </c>
      <c r="M194" s="200">
        <v>336</v>
      </c>
      <c r="N194" s="265">
        <f>$W$18+$W$19*H194+$W$20*I194+$W$21*J194+$W$22*K194+$W$23*L194+$W$24*M194</f>
        <v>128657624.06557645</v>
      </c>
      <c r="O194" s="49">
        <f>N194-G194</f>
        <v>2084049.9655283839</v>
      </c>
      <c r="P194" s="110">
        <f>O194/G194</f>
        <v>1.6465126945701004E-2</v>
      </c>
      <c r="Q194" s="13">
        <f t="shared" si="9"/>
        <v>1.6465126945701004E-2</v>
      </c>
    </row>
    <row r="195" spans="1:17">
      <c r="A195" s="50">
        <f t="shared" si="10"/>
        <v>40939</v>
      </c>
      <c r="B195" s="161">
        <v>133066136</v>
      </c>
      <c r="D195" s="161">
        <v>90401.13</v>
      </c>
      <c r="F195" s="162">
        <v>78253.575510724666</v>
      </c>
      <c r="G195" s="10">
        <f t="shared" si="8"/>
        <v>133078283.55448927</v>
      </c>
      <c r="H195" s="21">
        <v>657.3</v>
      </c>
      <c r="I195" s="21">
        <v>0</v>
      </c>
      <c r="J195" s="10">
        <v>31</v>
      </c>
      <c r="K195" s="10">
        <v>0</v>
      </c>
      <c r="L195" s="163">
        <v>275.60000000000002</v>
      </c>
      <c r="M195" s="200">
        <v>336</v>
      </c>
      <c r="N195" s="265">
        <f>$W$18+$W$19*H195+$W$20*I195+$W$21*J195+$W$22*K195+$W$23*L195+$W$24*M195</f>
        <v>131656342.11523549</v>
      </c>
      <c r="O195" s="49">
        <f>N195-G195</f>
        <v>-1421941.4392537773</v>
      </c>
      <c r="P195" s="110">
        <f>O195/G195</f>
        <v>-1.0684999845760405E-2</v>
      </c>
      <c r="Q195" s="13">
        <f t="shared" si="9"/>
        <v>1.0684999845760405E-2</v>
      </c>
    </row>
    <row r="196" spans="1:17">
      <c r="A196" s="50">
        <f t="shared" si="10"/>
        <v>40968</v>
      </c>
      <c r="B196" s="161">
        <v>120957212</v>
      </c>
      <c r="D196" s="161">
        <v>141343.04999999999</v>
      </c>
      <c r="F196" s="162">
        <v>71132.555639916769</v>
      </c>
      <c r="G196" s="10">
        <f t="shared" si="8"/>
        <v>121027422.49436007</v>
      </c>
      <c r="H196" s="21">
        <v>573</v>
      </c>
      <c r="I196" s="21">
        <v>0</v>
      </c>
      <c r="J196" s="10">
        <v>28</v>
      </c>
      <c r="K196" s="10">
        <v>0</v>
      </c>
      <c r="L196" s="163">
        <v>279.10000000000002</v>
      </c>
      <c r="M196" s="200">
        <v>320</v>
      </c>
      <c r="N196" s="265">
        <f>$W$18+$W$19*H196+$W$20*I196+$W$21*J196+$W$22*K196+$W$23*L196+$W$24*M196</f>
        <v>124066865.69801462</v>
      </c>
      <c r="O196" s="49">
        <f>N196-G196</f>
        <v>3039443.2036545426</v>
      </c>
      <c r="P196" s="110">
        <f>O196/G196</f>
        <v>2.5113673752708249E-2</v>
      </c>
      <c r="Q196" s="13">
        <f t="shared" si="9"/>
        <v>2.5113673752708249E-2</v>
      </c>
    </row>
    <row r="197" spans="1:17">
      <c r="A197" s="50">
        <f t="shared" si="10"/>
        <v>40999</v>
      </c>
      <c r="B197" s="161">
        <v>123024554</v>
      </c>
      <c r="D197" s="161">
        <v>223985.92000000001</v>
      </c>
      <c r="F197" s="162">
        <v>72348.318779709851</v>
      </c>
      <c r="G197" s="10">
        <f t="shared" si="8"/>
        <v>123176191.60122029</v>
      </c>
      <c r="H197" s="21">
        <v>370.1</v>
      </c>
      <c r="I197" s="21">
        <v>0</v>
      </c>
      <c r="J197" s="10">
        <v>31</v>
      </c>
      <c r="K197" s="10">
        <v>1</v>
      </c>
      <c r="L197" s="163">
        <v>280.5</v>
      </c>
      <c r="M197" s="200">
        <v>352</v>
      </c>
      <c r="N197" s="265">
        <f>$W$18+$W$19*H197+$W$20*I197+$W$21*J197+$W$22*K197+$W$23*L197+$W$24*M197</f>
        <v>124980895.51542933</v>
      </c>
      <c r="O197" s="49">
        <f>N197-G197</f>
        <v>1804703.914209038</v>
      </c>
      <c r="P197" s="110">
        <f>O197/G197</f>
        <v>1.4651402115529922E-2</v>
      </c>
      <c r="Q197" s="13">
        <f t="shared" si="9"/>
        <v>1.4651402115529922E-2</v>
      </c>
    </row>
    <row r="198" spans="1:17">
      <c r="A198" s="50">
        <f t="shared" si="10"/>
        <v>41029</v>
      </c>
      <c r="B198" s="161">
        <v>112718684</v>
      </c>
      <c r="D198" s="161">
        <v>259168.1</v>
      </c>
      <c r="F198" s="162">
        <v>66287.639477736928</v>
      </c>
      <c r="G198" s="10">
        <f t="shared" si="8"/>
        <v>112911564.46052226</v>
      </c>
      <c r="H198" s="21">
        <v>365.3</v>
      </c>
      <c r="I198" s="21">
        <v>0</v>
      </c>
      <c r="J198" s="10">
        <v>30</v>
      </c>
      <c r="K198" s="10">
        <v>1</v>
      </c>
      <c r="L198" s="163">
        <v>282.8</v>
      </c>
      <c r="M198" s="200">
        <v>320</v>
      </c>
      <c r="N198" s="265">
        <f>$W$18+$W$19*H198+$W$20*I198+$W$21*J198+$W$22*K198+$W$23*L198+$W$24*M198</f>
        <v>121850511.99507084</v>
      </c>
      <c r="O198" s="49">
        <f>N198-G198</f>
        <v>8938947.5345485806</v>
      </c>
      <c r="P198" s="110">
        <f>O198/G198</f>
        <v>7.9167688245732712E-2</v>
      </c>
      <c r="Q198" s="13">
        <f t="shared" si="9"/>
        <v>7.9167688245732712E-2</v>
      </c>
    </row>
    <row r="199" spans="1:17">
      <c r="A199" s="50">
        <f t="shared" si="10"/>
        <v>41060</v>
      </c>
      <c r="B199" s="161">
        <v>119458047</v>
      </c>
      <c r="D199" s="161">
        <v>411773.63</v>
      </c>
      <c r="F199" s="162">
        <v>70250.926210694175</v>
      </c>
      <c r="G199" s="10">
        <f t="shared" si="8"/>
        <v>119799569.70378929</v>
      </c>
      <c r="H199" s="21">
        <v>105.8</v>
      </c>
      <c r="I199" s="21">
        <v>18.2</v>
      </c>
      <c r="J199" s="10">
        <v>31</v>
      </c>
      <c r="K199" s="10">
        <v>1</v>
      </c>
      <c r="L199" s="163">
        <v>283.3</v>
      </c>
      <c r="M199" s="200">
        <v>352</v>
      </c>
      <c r="N199" s="265">
        <f>$W$18+$W$19*H199+$W$20*I199+$W$21*J199+$W$22*K199+$W$23*L199+$W$24*M199</f>
        <v>122150678.85764405</v>
      </c>
      <c r="O199" s="49">
        <f>N199-G199</f>
        <v>2351109.1538547575</v>
      </c>
      <c r="P199" s="110">
        <f>O199/G199</f>
        <v>1.9625355580725357E-2</v>
      </c>
      <c r="Q199" s="13">
        <f t="shared" si="9"/>
        <v>1.9625355580725357E-2</v>
      </c>
    </row>
    <row r="200" spans="1:17">
      <c r="A200" s="50">
        <f t="shared" si="10"/>
        <v>41090</v>
      </c>
      <c r="B200" s="161">
        <v>126042453</v>
      </c>
      <c r="D200" s="161">
        <v>351650.88</v>
      </c>
      <c r="E200" s="161">
        <v>156552.046776</v>
      </c>
      <c r="F200" s="162">
        <v>74123.085781888672</v>
      </c>
      <c r="G200" s="10">
        <f t="shared" si="8"/>
        <v>126319980.79421811</v>
      </c>
      <c r="H200" s="21">
        <v>42.1</v>
      </c>
      <c r="I200" s="21">
        <v>61.2</v>
      </c>
      <c r="J200" s="10">
        <v>30</v>
      </c>
      <c r="K200" s="10">
        <v>0</v>
      </c>
      <c r="L200" s="163">
        <v>281.8</v>
      </c>
      <c r="M200" s="200">
        <v>336</v>
      </c>
      <c r="N200" s="265">
        <f>$W$18+$W$19*H200+$W$20*I200+$W$21*J200+$W$22*K200+$W$23*L200+$W$24*M200</f>
        <v>126413247.88223764</v>
      </c>
      <c r="O200" s="49">
        <f>N200-G200</f>
        <v>93267.088019534945</v>
      </c>
      <c r="P200" s="110">
        <f>O200/G200</f>
        <v>7.3833994775119498E-4</v>
      </c>
      <c r="Q200" s="13">
        <f t="shared" si="9"/>
        <v>7.3833994775119498E-4</v>
      </c>
    </row>
    <row r="201" spans="1:17">
      <c r="A201" s="50">
        <f t="shared" si="10"/>
        <v>41121</v>
      </c>
      <c r="B201" s="161">
        <v>142142696</v>
      </c>
      <c r="D201" s="161">
        <v>366752.48</v>
      </c>
      <c r="E201" s="161">
        <v>830327.64440400002</v>
      </c>
      <c r="F201" s="162">
        <v>83591.32179756074</v>
      </c>
      <c r="G201" s="10">
        <f t="shared" si="8"/>
        <v>142425857.15820244</v>
      </c>
      <c r="H201" s="21">
        <v>0</v>
      </c>
      <c r="I201" s="21">
        <v>128.19999999999999</v>
      </c>
      <c r="J201" s="10">
        <v>31</v>
      </c>
      <c r="K201" s="10">
        <v>0</v>
      </c>
      <c r="L201" s="163">
        <v>281.2</v>
      </c>
      <c r="M201" s="200">
        <v>336</v>
      </c>
      <c r="N201" s="265">
        <f>$W$18+$W$19*H201+$W$20*I201+$W$21*J201+$W$22*K201+$W$23*L201+$W$24*M201</f>
        <v>138977818.8867929</v>
      </c>
      <c r="O201" s="49">
        <f>N201-G201</f>
        <v>-3448038.2714095414</v>
      </c>
      <c r="P201" s="110">
        <f>O201/G201</f>
        <v>-2.420935594285778E-2</v>
      </c>
      <c r="Q201" s="13">
        <f t="shared" si="9"/>
        <v>2.420935594285778E-2</v>
      </c>
    </row>
    <row r="202" spans="1:17">
      <c r="A202" s="50">
        <f t="shared" si="10"/>
        <v>41152</v>
      </c>
      <c r="B202" s="161">
        <v>130636633</v>
      </c>
      <c r="D202" s="161">
        <v>347062.71</v>
      </c>
      <c r="E202" s="161">
        <v>746851.44171600009</v>
      </c>
      <c r="F202" s="162">
        <v>76824.832615056366</v>
      </c>
      <c r="G202" s="10">
        <f t="shared" si="8"/>
        <v>130906870.87738493</v>
      </c>
      <c r="H202" s="21">
        <v>19.399999999999999</v>
      </c>
      <c r="I202" s="21">
        <v>59.1</v>
      </c>
      <c r="J202" s="10">
        <v>31</v>
      </c>
      <c r="K202" s="10">
        <v>0</v>
      </c>
      <c r="L202" s="163">
        <v>279</v>
      </c>
      <c r="M202" s="200">
        <v>352</v>
      </c>
      <c r="N202" s="265">
        <f>$W$18+$W$19*H202+$W$20*I202+$W$21*J202+$W$22*K202+$W$23*L202+$W$24*M202</f>
        <v>127131231.70338167</v>
      </c>
      <c r="O202" s="49">
        <f>N202-G202</f>
        <v>-3775639.1740032583</v>
      </c>
      <c r="P202" s="110">
        <f>O202/G202</f>
        <v>-2.8842177256988625E-2</v>
      </c>
      <c r="Q202" s="13">
        <f t="shared" si="9"/>
        <v>2.8842177256988625E-2</v>
      </c>
    </row>
    <row r="203" spans="1:17">
      <c r="A203" s="50">
        <f t="shared" si="10"/>
        <v>41182</v>
      </c>
      <c r="B203" s="161">
        <v>117321756</v>
      </c>
      <c r="D203" s="161">
        <v>351466.88</v>
      </c>
      <c r="E203" s="161">
        <v>704058.98860799999</v>
      </c>
      <c r="F203" s="162">
        <v>68994.615521088068</v>
      </c>
      <c r="G203" s="10">
        <f t="shared" si="8"/>
        <v>117604228.26447891</v>
      </c>
      <c r="H203" s="21">
        <v>125.4</v>
      </c>
      <c r="I203" s="21">
        <v>16.399999999999999</v>
      </c>
      <c r="J203" s="10">
        <v>30</v>
      </c>
      <c r="K203" s="10">
        <v>1</v>
      </c>
      <c r="L203" s="163">
        <v>274.7</v>
      </c>
      <c r="M203" s="200">
        <v>304</v>
      </c>
      <c r="N203" s="265">
        <f>$W$18+$W$19*H203+$W$20*I203+$W$21*J203+$W$22*K203+$W$23*L203+$W$24*M203</f>
        <v>113520761.47474408</v>
      </c>
      <c r="O203" s="49">
        <f>N203-G203</f>
        <v>-4083466.7897348255</v>
      </c>
      <c r="P203" s="110">
        <f>O203/G203</f>
        <v>-3.4722108635002136E-2</v>
      </c>
      <c r="Q203" s="13">
        <f t="shared" si="9"/>
        <v>3.4722108635002136E-2</v>
      </c>
    </row>
    <row r="204" spans="1:17">
      <c r="A204" s="50">
        <f t="shared" si="10"/>
        <v>41213</v>
      </c>
      <c r="B204" s="161">
        <v>119574951</v>
      </c>
      <c r="D204" s="161">
        <v>182984.21</v>
      </c>
      <c r="E204" s="161">
        <v>627856.1703</v>
      </c>
      <c r="F204" s="162">
        <v>70319.675152134136</v>
      </c>
      <c r="G204" s="10">
        <f t="shared" si="8"/>
        <v>119687615.53484786</v>
      </c>
      <c r="H204" s="21">
        <v>279.2</v>
      </c>
      <c r="I204" s="21">
        <v>0</v>
      </c>
      <c r="J204" s="10">
        <v>31</v>
      </c>
      <c r="K204" s="10">
        <v>1</v>
      </c>
      <c r="L204" s="163">
        <v>271.2</v>
      </c>
      <c r="M204" s="200">
        <v>352</v>
      </c>
      <c r="N204" s="265">
        <f>$W$18+$W$19*H204+$W$20*I204+$W$21*J204+$W$22*K204+$W$23*L204+$W$24*M204</f>
        <v>118354694.09023719</v>
      </c>
      <c r="O204" s="49">
        <f>N204-G204</f>
        <v>-1332921.4446106702</v>
      </c>
      <c r="P204" s="110">
        <f>O204/G204</f>
        <v>-1.1136669726890674E-2</v>
      </c>
      <c r="Q204" s="13">
        <f t="shared" si="9"/>
        <v>1.1136669726890674E-2</v>
      </c>
    </row>
    <row r="205" spans="1:17">
      <c r="A205" s="50">
        <f t="shared" si="10"/>
        <v>41243</v>
      </c>
      <c r="B205" s="161">
        <v>122683932</v>
      </c>
      <c r="D205" s="161">
        <v>157709.44</v>
      </c>
      <c r="E205" s="161">
        <v>630415.49187599996</v>
      </c>
      <c r="F205" s="162">
        <v>72148.005685793789</v>
      </c>
      <c r="G205" s="10">
        <f t="shared" si="8"/>
        <v>122769493.43431421</v>
      </c>
      <c r="H205" s="21">
        <v>483.6</v>
      </c>
      <c r="I205" s="21">
        <v>0</v>
      </c>
      <c r="J205" s="10">
        <v>30</v>
      </c>
      <c r="K205" s="10">
        <v>1</v>
      </c>
      <c r="L205" s="163">
        <v>270.39999999999998</v>
      </c>
      <c r="M205" s="200">
        <v>352</v>
      </c>
      <c r="N205" s="265">
        <f>$W$18+$W$19*H205+$W$20*I205+$W$21*J205+$W$22*K205+$W$23*L205+$W$24*M205</f>
        <v>121771018.2167898</v>
      </c>
      <c r="O205" s="49">
        <f>N205-G205</f>
        <v>-998475.21752440929</v>
      </c>
      <c r="P205" s="110">
        <f>O205/G205</f>
        <v>-8.1329261007224655E-3</v>
      </c>
      <c r="Q205" s="13">
        <f t="shared" si="9"/>
        <v>8.1329261007224655E-3</v>
      </c>
    </row>
    <row r="206" spans="1:17">
      <c r="A206" s="50">
        <f t="shared" si="10"/>
        <v>41274</v>
      </c>
      <c r="B206" s="161">
        <v>125736988</v>
      </c>
      <c r="D206" s="161">
        <v>89826.67</v>
      </c>
      <c r="E206" s="161">
        <v>617717.21219999995</v>
      </c>
      <c r="F206" s="162">
        <v>73943.447827695854</v>
      </c>
      <c r="G206" s="10">
        <f t="shared" si="8"/>
        <v>125752871.2221723</v>
      </c>
      <c r="H206" s="21">
        <v>565.5</v>
      </c>
      <c r="I206" s="21">
        <v>0</v>
      </c>
      <c r="J206" s="10">
        <v>31</v>
      </c>
      <c r="K206" s="10">
        <v>0</v>
      </c>
      <c r="L206" s="163">
        <v>272.10000000000002</v>
      </c>
      <c r="M206" s="200">
        <v>304</v>
      </c>
      <c r="N206" s="265">
        <f>$W$18+$W$19*H206+$W$20*I206+$W$21*J206+$W$22*K206+$W$23*L206+$W$24*M206</f>
        <v>125464210.4577198</v>
      </c>
      <c r="O206" s="49">
        <f>N206-G206</f>
        <v>-288660.76445250213</v>
      </c>
      <c r="P206" s="110">
        <f>O206/G206</f>
        <v>-2.2954606256465854E-3</v>
      </c>
      <c r="Q206" s="13">
        <f t="shared" si="9"/>
        <v>2.2954606256465854E-3</v>
      </c>
    </row>
    <row r="207" spans="1:17">
      <c r="A207" s="50">
        <f t="shared" si="10"/>
        <v>41305</v>
      </c>
      <c r="B207" s="161">
        <v>133572368</v>
      </c>
      <c r="D207" s="161">
        <v>136113.82999999999</v>
      </c>
      <c r="E207" s="161">
        <v>524897.4</v>
      </c>
      <c r="F207" s="162">
        <v>102861.81649220374</v>
      </c>
      <c r="G207" s="10">
        <f t="shared" si="8"/>
        <v>133605620.0135078</v>
      </c>
      <c r="H207" s="21">
        <v>681.3</v>
      </c>
      <c r="I207" s="21">
        <v>0</v>
      </c>
      <c r="J207" s="10">
        <v>31</v>
      </c>
      <c r="K207" s="16">
        <v>0</v>
      </c>
      <c r="L207" s="163">
        <v>272.89999999999998</v>
      </c>
      <c r="M207" s="200">
        <v>352</v>
      </c>
      <c r="N207" s="265">
        <f>$W$18+$W$19*H207+$W$20*I207+$W$21*J207+$W$22*K207+$W$23*L207+$W$24*M207</f>
        <v>132182146.02993329</v>
      </c>
      <c r="O207" s="49">
        <f>N207-G207</f>
        <v>-1423473.9835745096</v>
      </c>
      <c r="P207" s="110">
        <f>O207/G207</f>
        <v>-1.0654297202696963E-2</v>
      </c>
      <c r="Q207" s="13">
        <f t="shared" si="9"/>
        <v>1.0654297202696963E-2</v>
      </c>
    </row>
    <row r="208" spans="1:17">
      <c r="A208" s="50">
        <f t="shared" si="10"/>
        <v>41333</v>
      </c>
      <c r="B208" s="161">
        <v>121269613</v>
      </c>
      <c r="D208" s="161">
        <v>123471.97</v>
      </c>
      <c r="E208" s="161">
        <v>580823.6</v>
      </c>
      <c r="F208" s="162">
        <v>93387.673403278764</v>
      </c>
      <c r="G208" s="10">
        <f t="shared" si="8"/>
        <v>121299697.29659672</v>
      </c>
      <c r="H208" s="21">
        <v>697.9</v>
      </c>
      <c r="I208" s="21">
        <v>0</v>
      </c>
      <c r="J208" s="10">
        <v>28</v>
      </c>
      <c r="K208" s="16">
        <v>0</v>
      </c>
      <c r="L208" s="163">
        <v>273.7</v>
      </c>
      <c r="M208" s="200">
        <v>304</v>
      </c>
      <c r="N208" s="265">
        <f>$W$18+$W$19*H208+$W$20*I208+$W$21*J208+$W$22*K208+$W$23*L208+$W$24*M208</f>
        <v>124110167.42087063</v>
      </c>
      <c r="O208" s="49">
        <f>N208-G208</f>
        <v>2810470.1242739111</v>
      </c>
      <c r="P208" s="110">
        <f>O208/G208</f>
        <v>2.3169638399029739E-2</v>
      </c>
      <c r="Q208" s="13">
        <f t="shared" si="9"/>
        <v>2.3169638399029739E-2</v>
      </c>
    </row>
    <row r="209" spans="1:17">
      <c r="A209" s="50">
        <f t="shared" si="10"/>
        <v>41364</v>
      </c>
      <c r="B209" s="161">
        <v>127636348</v>
      </c>
      <c r="D209" s="161">
        <v>308772.53000000003</v>
      </c>
      <c r="E209" s="161">
        <v>576251.30000000005</v>
      </c>
      <c r="F209" s="162">
        <v>98290.588108096243</v>
      </c>
      <c r="G209" s="10">
        <f t="shared" si="8"/>
        <v>127846829.94189191</v>
      </c>
      <c r="H209" s="21">
        <v>612</v>
      </c>
      <c r="I209" s="21">
        <v>0</v>
      </c>
      <c r="J209" s="10">
        <v>31</v>
      </c>
      <c r="K209" s="16">
        <v>1</v>
      </c>
      <c r="L209" s="163">
        <v>275.60000000000002</v>
      </c>
      <c r="M209" s="200">
        <v>320</v>
      </c>
      <c r="N209" s="265">
        <f>$W$18+$W$19*H209+$W$20*I209+$W$21*J209+$W$22*K209+$W$23*L209+$W$24*M209</f>
        <v>127448452.04553309</v>
      </c>
      <c r="O209" s="49">
        <f>N209-G209</f>
        <v>-398377.89635881782</v>
      </c>
      <c r="P209" s="110">
        <f>O209/G209</f>
        <v>-3.1160561160561108E-3</v>
      </c>
      <c r="Q209" s="13">
        <f t="shared" si="9"/>
        <v>3.1160561160561108E-3</v>
      </c>
    </row>
    <row r="210" spans="1:17">
      <c r="A210" s="50">
        <f t="shared" si="10"/>
        <v>41394</v>
      </c>
      <c r="B210" s="161">
        <v>116631619</v>
      </c>
      <c r="D210" s="161">
        <v>352455.16</v>
      </c>
      <c r="E210" s="161">
        <v>648360.9</v>
      </c>
      <c r="F210" s="162">
        <v>89816.032839715932</v>
      </c>
      <c r="G210" s="10">
        <f t="shared" si="8"/>
        <v>116894258.12716028</v>
      </c>
      <c r="H210" s="21">
        <v>384.7</v>
      </c>
      <c r="I210" s="21">
        <v>0</v>
      </c>
      <c r="J210" s="10">
        <v>30</v>
      </c>
      <c r="K210" s="16">
        <v>1</v>
      </c>
      <c r="L210" s="163">
        <v>277.89999999999998</v>
      </c>
      <c r="M210" s="200">
        <v>352</v>
      </c>
      <c r="N210" s="265">
        <f>$W$18+$W$19*H210+$W$20*I210+$W$21*J210+$W$22*K210+$W$23*L210+$W$24*M210</f>
        <v>122327434.66951667</v>
      </c>
      <c r="O210" s="49">
        <f>N210-G210</f>
        <v>5433176.5423563868</v>
      </c>
      <c r="P210" s="110">
        <f>O210/G210</f>
        <v>4.6479413355325384E-2</v>
      </c>
      <c r="Q210" s="13">
        <f t="shared" si="9"/>
        <v>4.6479413355325384E-2</v>
      </c>
    </row>
    <row r="211" spans="1:17">
      <c r="A211" s="50">
        <f t="shared" si="10"/>
        <v>41425</v>
      </c>
      <c r="B211" s="161">
        <v>116731333</v>
      </c>
      <c r="D211" s="161">
        <v>494154.6</v>
      </c>
      <c r="E211" s="161">
        <v>652218.69999999995</v>
      </c>
      <c r="F211" s="162">
        <v>89892.820900924111</v>
      </c>
      <c r="G211" s="10">
        <f t="shared" si="8"/>
        <v>117135594.77909908</v>
      </c>
      <c r="H211" s="21">
        <v>152.1</v>
      </c>
      <c r="I211" s="21">
        <v>19.600000000000001</v>
      </c>
      <c r="J211" s="10">
        <v>31</v>
      </c>
      <c r="K211" s="16">
        <v>1</v>
      </c>
      <c r="L211" s="163">
        <v>280.10000000000002</v>
      </c>
      <c r="M211" s="200">
        <v>352</v>
      </c>
      <c r="N211" s="265">
        <f>$W$18+$W$19*H211+$W$20*I211+$W$21*J211+$W$22*K211+$W$23*L211+$W$24*M211</f>
        <v>122279872.56682304</v>
      </c>
      <c r="O211" s="49">
        <f>N211-G211</f>
        <v>5144277.7877239585</v>
      </c>
      <c r="P211" s="110">
        <f>O211/G211</f>
        <v>4.3917289167526984E-2</v>
      </c>
      <c r="Q211" s="13">
        <f t="shared" si="9"/>
        <v>4.3917289167526984E-2</v>
      </c>
    </row>
    <row r="212" spans="1:17">
      <c r="A212" s="50">
        <f t="shared" si="10"/>
        <v>41455</v>
      </c>
      <c r="B212" s="161">
        <v>120478511</v>
      </c>
      <c r="D212" s="161">
        <v>431927.94</v>
      </c>
      <c r="E212" s="161">
        <v>699684.2</v>
      </c>
      <c r="F212" s="162">
        <v>92778.459162571336</v>
      </c>
      <c r="G212" s="10">
        <f t="shared" si="8"/>
        <v>120817660.48083742</v>
      </c>
      <c r="H212" s="21">
        <v>52.6</v>
      </c>
      <c r="I212" s="21">
        <v>31.3</v>
      </c>
      <c r="J212" s="10">
        <v>30</v>
      </c>
      <c r="K212" s="16">
        <v>0</v>
      </c>
      <c r="L212" s="163">
        <v>282.39999999999998</v>
      </c>
      <c r="M212" s="200">
        <v>320</v>
      </c>
      <c r="N212" s="265">
        <f>$W$18+$W$19*H212+$W$20*I212+$W$21*J212+$W$22*K212+$W$23*L212+$W$24*M212</f>
        <v>120527268.3260482</v>
      </c>
      <c r="O212" s="49">
        <f>N212-G212</f>
        <v>-290392.15478922427</v>
      </c>
      <c r="P212" s="110">
        <f>O212/G212</f>
        <v>-2.4035571756107843E-3</v>
      </c>
      <c r="Q212" s="13">
        <f t="shared" si="9"/>
        <v>2.4035571756107843E-3</v>
      </c>
    </row>
    <row r="213" spans="1:17">
      <c r="A213" s="50">
        <f t="shared" si="10"/>
        <v>41486</v>
      </c>
      <c r="B213" s="161">
        <v>135929115</v>
      </c>
      <c r="D213" s="161">
        <v>475817.76</v>
      </c>
      <c r="E213" s="161">
        <v>695737.4</v>
      </c>
      <c r="F213" s="162">
        <v>104676.70740910769</v>
      </c>
      <c r="G213" s="10">
        <f t="shared" si="8"/>
        <v>136300256.05259088</v>
      </c>
      <c r="H213" s="21">
        <v>15.1</v>
      </c>
      <c r="I213" s="21">
        <v>86.5</v>
      </c>
      <c r="J213" s="10">
        <v>31</v>
      </c>
      <c r="K213" s="16">
        <v>0</v>
      </c>
      <c r="L213" s="163">
        <v>282.39999999999998</v>
      </c>
      <c r="M213" s="200">
        <v>352</v>
      </c>
      <c r="N213" s="265">
        <f>$W$18+$W$19*H213+$W$20*I213+$W$21*J213+$W$22*K213+$W$23*L213+$W$24*M213</f>
        <v>133452993.41522177</v>
      </c>
      <c r="O213" s="49">
        <f>N213-G213</f>
        <v>-2847262.6373691112</v>
      </c>
      <c r="P213" s="110">
        <f>O213/G213</f>
        <v>-2.0889635278971939E-2</v>
      </c>
      <c r="Q213" s="13">
        <f t="shared" si="9"/>
        <v>2.0889635278971939E-2</v>
      </c>
    </row>
    <row r="214" spans="1:17">
      <c r="A214" s="50">
        <f t="shared" si="10"/>
        <v>41517</v>
      </c>
      <c r="B214" s="161">
        <v>126659105</v>
      </c>
      <c r="D214" s="161">
        <v>509729.72</v>
      </c>
      <c r="E214" s="161">
        <v>637368.19999999995</v>
      </c>
      <c r="F214" s="162">
        <v>97538.029838452552</v>
      </c>
      <c r="G214" s="10">
        <f t="shared" si="8"/>
        <v>127071296.69016154</v>
      </c>
      <c r="H214" s="21">
        <v>32.700000000000003</v>
      </c>
      <c r="I214" s="21">
        <v>42.1</v>
      </c>
      <c r="J214" s="10">
        <v>31</v>
      </c>
      <c r="K214" s="16">
        <v>0</v>
      </c>
      <c r="L214" s="163">
        <v>283.2</v>
      </c>
      <c r="M214" s="200">
        <v>336</v>
      </c>
      <c r="N214" s="265">
        <f>$W$18+$W$19*H214+$W$20*I214+$W$21*J214+$W$22*K214+$W$23*L214+$W$24*M214</f>
        <v>125236902.30489974</v>
      </c>
      <c r="O214" s="49">
        <f>N214-G214</f>
        <v>-1834394.3852618039</v>
      </c>
      <c r="P214" s="110">
        <f>O214/G214</f>
        <v>-1.4435946063685926E-2</v>
      </c>
      <c r="Q214" s="13">
        <f t="shared" si="9"/>
        <v>1.4435946063685926E-2</v>
      </c>
    </row>
    <row r="215" spans="1:17">
      <c r="A215" s="50">
        <f t="shared" si="10"/>
        <v>41547</v>
      </c>
      <c r="B215" s="161">
        <v>117767937</v>
      </c>
      <c r="D215" s="161">
        <v>424342.78700000007</v>
      </c>
      <c r="E215" s="161">
        <v>617905.6</v>
      </c>
      <c r="F215" s="162">
        <v>90691.092070475308</v>
      </c>
      <c r="G215" s="10">
        <f t="shared" si="8"/>
        <v>118101588.69492953</v>
      </c>
      <c r="H215" s="21">
        <v>128.1</v>
      </c>
      <c r="I215" s="21">
        <v>20.5</v>
      </c>
      <c r="J215" s="10">
        <v>30</v>
      </c>
      <c r="K215" s="16">
        <v>1</v>
      </c>
      <c r="L215" s="163">
        <v>285.5</v>
      </c>
      <c r="M215" s="200">
        <v>320</v>
      </c>
      <c r="N215" s="265">
        <f>$W$18+$W$19*H215+$W$20*I215+$W$21*J215+$W$22*K215+$W$23*L215+$W$24*M215</f>
        <v>120144486.14195007</v>
      </c>
      <c r="O215" s="49">
        <f>N215-G215</f>
        <v>2042897.4470205456</v>
      </c>
      <c r="P215" s="110">
        <f>O215/G215</f>
        <v>1.7297798188791458E-2</v>
      </c>
      <c r="Q215" s="13">
        <f t="shared" si="9"/>
        <v>1.7297798188791458E-2</v>
      </c>
    </row>
    <row r="216" spans="1:17">
      <c r="A216" s="50">
        <f t="shared" si="10"/>
        <v>41578</v>
      </c>
      <c r="B216" s="161">
        <v>119322232</v>
      </c>
      <c r="D216" s="161">
        <v>309217.72024999984</v>
      </c>
      <c r="E216" s="161">
        <v>566636.30000000005</v>
      </c>
      <c r="F216" s="162">
        <v>91888.028304058811</v>
      </c>
      <c r="G216" s="10">
        <f t="shared" si="8"/>
        <v>119539561.69194594</v>
      </c>
      <c r="H216" s="21">
        <v>262.10000000000002</v>
      </c>
      <c r="I216" s="21">
        <v>0</v>
      </c>
      <c r="J216" s="10">
        <v>31</v>
      </c>
      <c r="K216" s="16">
        <v>1</v>
      </c>
      <c r="L216" s="163">
        <v>289.89999999999998</v>
      </c>
      <c r="M216" s="200">
        <v>352</v>
      </c>
      <c r="N216" s="265">
        <f>$W$18+$W$19*H216+$W$20*I216+$W$21*J216+$W$22*K216+$W$23*L216+$W$24*M216</f>
        <v>126121806.36877765</v>
      </c>
      <c r="O216" s="49">
        <f>N216-G216</f>
        <v>6582244.6768317074</v>
      </c>
      <c r="P216" s="110">
        <f>O216/G216</f>
        <v>5.5063316141263641E-2</v>
      </c>
      <c r="Q216" s="13">
        <f t="shared" si="9"/>
        <v>5.5063316141263641E-2</v>
      </c>
    </row>
    <row r="217" spans="1:17">
      <c r="A217" s="50">
        <f t="shared" ref="A217:A246" si="11">EOMONTH(A216,1)</f>
        <v>41608</v>
      </c>
      <c r="B217" s="161">
        <v>123255163</v>
      </c>
      <c r="D217" s="161">
        <v>222932.06299999999</v>
      </c>
      <c r="E217" s="161">
        <v>591294.30000000005</v>
      </c>
      <c r="F217" s="162">
        <v>94916.711802419042</v>
      </c>
      <c r="G217" s="10">
        <f t="shared" si="8"/>
        <v>123383178.35119757</v>
      </c>
      <c r="H217" s="21">
        <v>517.70000000000005</v>
      </c>
      <c r="I217" s="21">
        <v>0</v>
      </c>
      <c r="J217" s="10">
        <v>30</v>
      </c>
      <c r="K217" s="16">
        <v>1</v>
      </c>
      <c r="L217" s="163">
        <v>293.60000000000002</v>
      </c>
      <c r="M217" s="200">
        <v>336</v>
      </c>
      <c r="N217" s="265">
        <f>$W$18+$W$19*H217+$W$20*I217+$W$21*J217+$W$22*K217+$W$23*L217+$W$24*M217</f>
        <v>131896261.48693217</v>
      </c>
      <c r="O217" s="49">
        <f>N217-G217</f>
        <v>8513083.1357346028</v>
      </c>
      <c r="P217" s="110">
        <f>O217/G217</f>
        <v>6.8997113297754292E-2</v>
      </c>
      <c r="Q217" s="13">
        <f t="shared" si="9"/>
        <v>6.8997113297754292E-2</v>
      </c>
    </row>
    <row r="218" spans="1:17">
      <c r="A218" s="50">
        <f t="shared" si="11"/>
        <v>41639</v>
      </c>
      <c r="B218" s="161">
        <v>131036754</v>
      </c>
      <c r="D218" s="161">
        <v>112429.68199999994</v>
      </c>
      <c r="E218" s="161">
        <v>589492.80000000005</v>
      </c>
      <c r="F218" s="162">
        <v>100909.18313046635</v>
      </c>
      <c r="G218" s="10">
        <f t="shared" si="8"/>
        <v>131048274.49886952</v>
      </c>
      <c r="H218" s="21">
        <v>727.3</v>
      </c>
      <c r="I218" s="21">
        <v>0</v>
      </c>
      <c r="J218" s="10">
        <v>31</v>
      </c>
      <c r="K218" s="16">
        <v>0</v>
      </c>
      <c r="L218" s="163">
        <v>291.5</v>
      </c>
      <c r="M218" s="200">
        <v>320</v>
      </c>
      <c r="N218" s="265">
        <f>$W$18+$W$19*H218+$W$20*I218+$W$21*J218+$W$22*K218+$W$23*L218+$W$24*M218</f>
        <v>139561940.33828452</v>
      </c>
      <c r="O218" s="49">
        <f>N218-G218</f>
        <v>8513665.8394149989</v>
      </c>
      <c r="P218" s="110">
        <f>O218/G218</f>
        <v>6.4965875147699415E-2</v>
      </c>
      <c r="Q218" s="13">
        <f t="shared" si="9"/>
        <v>6.4965875147699415E-2</v>
      </c>
    </row>
    <row r="219" spans="1:17">
      <c r="A219" s="50">
        <f t="shared" si="11"/>
        <v>41670</v>
      </c>
      <c r="B219" s="161">
        <v>141162234</v>
      </c>
      <c r="D219" s="161">
        <v>163374.88599999991</v>
      </c>
      <c r="E219" s="162">
        <v>589492.75201200007</v>
      </c>
      <c r="F219" s="162">
        <v>109393.5665099395</v>
      </c>
      <c r="G219" s="10">
        <f t="shared" si="8"/>
        <v>141216215.31949008</v>
      </c>
      <c r="H219" s="21">
        <v>865.9</v>
      </c>
      <c r="I219" s="21">
        <v>0</v>
      </c>
      <c r="J219" s="10">
        <v>31</v>
      </c>
      <c r="K219" s="16">
        <v>0</v>
      </c>
      <c r="L219" s="163">
        <v>290.5</v>
      </c>
      <c r="M219" s="200">
        <v>352</v>
      </c>
      <c r="N219" s="265">
        <f>$W$18+$W$19*H219+$W$20*I219+$W$21*J219+$W$22*K219+$W$23*L219+$W$24*M219</f>
        <v>145071613.39964649</v>
      </c>
      <c r="O219" s="49">
        <f>N219-G219</f>
        <v>3855398.0801564157</v>
      </c>
      <c r="P219" s="110">
        <f>O219/G219</f>
        <v>2.7301383707486387E-2</v>
      </c>
      <c r="Q219" s="13">
        <f t="shared" si="9"/>
        <v>2.7301383707486387E-2</v>
      </c>
    </row>
    <row r="220" spans="1:17">
      <c r="A220" s="50">
        <f t="shared" si="11"/>
        <v>41698</v>
      </c>
      <c r="B220" s="161">
        <v>125286852</v>
      </c>
      <c r="D220" s="161">
        <v>151108.86300000004</v>
      </c>
      <c r="E220" s="162">
        <v>524192.18126399996</v>
      </c>
      <c r="F220" s="162">
        <v>97090.95123192048</v>
      </c>
      <c r="G220" s="10">
        <f t="shared" ref="G220:G230" si="12">+B220-C220+D220-F220</f>
        <v>125340869.91176808</v>
      </c>
      <c r="H220" s="21">
        <v>831.2</v>
      </c>
      <c r="I220" s="21">
        <v>0</v>
      </c>
      <c r="J220" s="10">
        <v>29</v>
      </c>
      <c r="K220" s="16">
        <v>0</v>
      </c>
      <c r="L220" s="163">
        <v>285.2</v>
      </c>
      <c r="M220" s="200">
        <v>304</v>
      </c>
      <c r="N220" s="265">
        <f>$W$18+$W$19*H220+$W$20*I220+$W$21*J220+$W$22*K220+$W$23*L220+$W$24*M220</f>
        <v>134798104.90369764</v>
      </c>
      <c r="O220" s="49">
        <f>N220-G220</f>
        <v>9457234.9919295609</v>
      </c>
      <c r="P220" s="110">
        <f>O220/G220</f>
        <v>7.5452125061736416E-2</v>
      </c>
      <c r="Q220" s="13">
        <f t="shared" ref="Q220:Q230" si="13">ABS(P220)</f>
        <v>7.5452125061736416E-2</v>
      </c>
    </row>
    <row r="221" spans="1:17">
      <c r="A221" s="50">
        <f t="shared" si="11"/>
        <v>41729</v>
      </c>
      <c r="B221" s="161">
        <v>133301246</v>
      </c>
      <c r="D221" s="161">
        <v>492909.32799999975</v>
      </c>
      <c r="E221" s="162">
        <v>578733.67389600002</v>
      </c>
      <c r="F221" s="162">
        <v>103301.69980278725</v>
      </c>
      <c r="G221" s="10">
        <f t="shared" si="12"/>
        <v>133690853.62819721</v>
      </c>
      <c r="H221" s="21">
        <v>757</v>
      </c>
      <c r="I221" s="21">
        <v>0</v>
      </c>
      <c r="J221" s="10">
        <v>31</v>
      </c>
      <c r="K221" s="16">
        <v>1</v>
      </c>
      <c r="L221" s="163">
        <v>282.7</v>
      </c>
      <c r="M221" s="200">
        <v>336</v>
      </c>
      <c r="N221" s="265">
        <f>$W$18+$W$19*H221+$W$20*I221+$W$21*J221+$W$22*K221+$W$23*L221+$W$24*M221</f>
        <v>135657616.89787215</v>
      </c>
      <c r="O221" s="49">
        <f>N221-G221</f>
        <v>1966763.2696749419</v>
      </c>
      <c r="P221" s="110">
        <f>O221/G221</f>
        <v>1.4711277670083818E-2</v>
      </c>
      <c r="Q221" s="13">
        <f t="shared" si="13"/>
        <v>1.4711277670083818E-2</v>
      </c>
    </row>
    <row r="222" spans="1:17">
      <c r="A222" s="50">
        <f t="shared" si="11"/>
        <v>41759</v>
      </c>
      <c r="B222" s="161">
        <v>114837701</v>
      </c>
      <c r="D222" s="161">
        <v>543975.7921000002</v>
      </c>
      <c r="E222" s="162">
        <v>565100.05381199997</v>
      </c>
      <c r="F222" s="162">
        <v>88993.389564747515</v>
      </c>
      <c r="G222" s="10">
        <f t="shared" si="12"/>
        <v>115292683.40253524</v>
      </c>
      <c r="H222" s="21">
        <v>389.9</v>
      </c>
      <c r="I222" s="21">
        <v>0</v>
      </c>
      <c r="J222" s="10">
        <v>30</v>
      </c>
      <c r="K222" s="16">
        <v>1</v>
      </c>
      <c r="L222" s="163">
        <v>278.89999999999998</v>
      </c>
      <c r="M222" s="200">
        <v>320</v>
      </c>
      <c r="N222" s="265">
        <f>$W$18+$W$19*H222+$W$20*I222+$W$21*J222+$W$22*K222+$W$23*L222+$W$24*M222</f>
        <v>120815364.04720008</v>
      </c>
      <c r="O222" s="49">
        <f>N222-G222</f>
        <v>5522680.6446648389</v>
      </c>
      <c r="P222" s="110">
        <f>O222/G222</f>
        <v>4.7901397397290497E-2</v>
      </c>
      <c r="Q222" s="13">
        <f t="shared" si="13"/>
        <v>4.7901397397290497E-2</v>
      </c>
    </row>
    <row r="223" spans="1:17">
      <c r="A223" s="50">
        <f t="shared" si="11"/>
        <v>41790</v>
      </c>
      <c r="B223" s="174">
        <v>114338194.827024</v>
      </c>
      <c r="D223" s="161">
        <v>695152.56099999999</v>
      </c>
      <c r="E223" s="162">
        <v>631838.1452400001</v>
      </c>
      <c r="F223" s="162">
        <v>88621.499172077369</v>
      </c>
      <c r="G223" s="10">
        <f t="shared" si="12"/>
        <v>114944725.88885193</v>
      </c>
      <c r="H223" s="21">
        <v>168.9</v>
      </c>
      <c r="I223" s="21">
        <v>9</v>
      </c>
      <c r="J223" s="10">
        <v>31</v>
      </c>
      <c r="K223" s="16">
        <v>1</v>
      </c>
      <c r="L223" s="163">
        <v>281.8</v>
      </c>
      <c r="M223" s="200">
        <v>336</v>
      </c>
      <c r="N223" s="265">
        <f>$W$18+$W$19*H223+$W$20*I223+$W$21*J223+$W$22*K223+$W$23*L223+$W$24*M223</f>
        <v>120535396.81235607</v>
      </c>
      <c r="O223" s="49">
        <f>N223-G223</f>
        <v>5590670.923504144</v>
      </c>
      <c r="P223" s="110">
        <f>O223/G223</f>
        <v>4.8637907309554626E-2</v>
      </c>
      <c r="Q223" s="13">
        <f t="shared" si="13"/>
        <v>4.8637907309554626E-2</v>
      </c>
    </row>
    <row r="224" spans="1:17">
      <c r="A224" s="50">
        <f t="shared" si="11"/>
        <v>41820</v>
      </c>
      <c r="B224" s="161">
        <v>121769147</v>
      </c>
      <c r="D224" s="161">
        <v>756506.24999999988</v>
      </c>
      <c r="E224" s="162">
        <v>664536.47108399996</v>
      </c>
      <c r="F224" s="162">
        <v>94364.908401797482</v>
      </c>
      <c r="G224" s="10">
        <f t="shared" si="12"/>
        <v>122431288.3415982</v>
      </c>
      <c r="H224" s="21">
        <v>37.299999999999997</v>
      </c>
      <c r="I224" s="21">
        <v>44.3</v>
      </c>
      <c r="J224" s="10">
        <v>30</v>
      </c>
      <c r="K224" s="16">
        <v>0</v>
      </c>
      <c r="L224" s="163">
        <v>284.8</v>
      </c>
      <c r="M224" s="200">
        <v>336</v>
      </c>
      <c r="N224" s="265">
        <f>$W$18+$W$19*H224+$W$20*I224+$W$21*J224+$W$22*K224+$W$23*L224+$W$24*M224</f>
        <v>124553554.44766113</v>
      </c>
      <c r="O224" s="49">
        <f>N224-G224</f>
        <v>2122266.1060629338</v>
      </c>
      <c r="P224" s="110">
        <f>O224/G224</f>
        <v>1.7334344307000617E-2</v>
      </c>
      <c r="Q224" s="13">
        <f t="shared" si="13"/>
        <v>1.7334344307000617E-2</v>
      </c>
    </row>
    <row r="225" spans="1:18">
      <c r="A225" s="50">
        <f t="shared" si="11"/>
        <v>41851</v>
      </c>
      <c r="B225" s="161">
        <v>124264855</v>
      </c>
      <c r="D225" s="161">
        <v>735821.31139000016</v>
      </c>
      <c r="E225" s="162">
        <v>676097.69759999996</v>
      </c>
      <c r="F225" s="162">
        <v>96298.95542947053</v>
      </c>
      <c r="G225" s="10">
        <f t="shared" si="12"/>
        <v>124904377.35596053</v>
      </c>
      <c r="H225" s="21">
        <v>36.799999999999997</v>
      </c>
      <c r="I225" s="21">
        <v>38.799999999999997</v>
      </c>
      <c r="J225" s="10">
        <v>31</v>
      </c>
      <c r="K225" s="16">
        <v>0</v>
      </c>
      <c r="L225" s="163">
        <v>285.8</v>
      </c>
      <c r="M225" s="200">
        <v>352</v>
      </c>
      <c r="N225" s="265">
        <f>$W$18+$W$19*H225+$W$20*I225+$W$21*J225+$W$22*K225+$W$23*L225+$W$24*M225</f>
        <v>126950312.94448178</v>
      </c>
      <c r="O225" s="49">
        <f>N225-G225</f>
        <v>2045935.5885212421</v>
      </c>
      <c r="P225" s="110">
        <f>O225/G225</f>
        <v>1.6380015111004502E-2</v>
      </c>
      <c r="Q225" s="13">
        <f t="shared" si="13"/>
        <v>1.6380015111004502E-2</v>
      </c>
    </row>
    <row r="226" spans="1:18">
      <c r="A226" s="50">
        <f t="shared" si="11"/>
        <v>41882</v>
      </c>
      <c r="B226" s="161">
        <v>121808221</v>
      </c>
      <c r="D226" s="161">
        <v>1761479.4469999999</v>
      </c>
      <c r="E226" s="162">
        <v>679187.50873200002</v>
      </c>
      <c r="F226" s="162">
        <v>94395.188768554843</v>
      </c>
      <c r="G226" s="10">
        <f t="shared" si="12"/>
        <v>123475305.25823145</v>
      </c>
      <c r="H226" s="21">
        <v>31.1</v>
      </c>
      <c r="I226" s="21">
        <v>28.5</v>
      </c>
      <c r="J226" s="10">
        <v>31</v>
      </c>
      <c r="K226" s="16">
        <v>0</v>
      </c>
      <c r="L226" s="163">
        <v>286</v>
      </c>
      <c r="M226" s="200">
        <v>320</v>
      </c>
      <c r="N226" s="265">
        <f>$W$18+$W$19*H226+$W$20*I226+$W$21*J226+$W$22*K226+$W$23*L226+$W$24*M226</f>
        <v>122924595.72228935</v>
      </c>
      <c r="O226" s="49">
        <f>N226-G226</f>
        <v>-550709.53594209254</v>
      </c>
      <c r="P226" s="110">
        <f>O226/G226</f>
        <v>-4.4600783516214847E-3</v>
      </c>
      <c r="Q226" s="13">
        <f t="shared" si="13"/>
        <v>4.4600783516214847E-3</v>
      </c>
    </row>
    <row r="227" spans="1:18">
      <c r="A227" s="50">
        <f t="shared" si="11"/>
        <v>41912</v>
      </c>
      <c r="B227" s="161">
        <v>117332856.5</v>
      </c>
      <c r="D227" s="161">
        <v>1477827.5699999998</v>
      </c>
      <c r="E227" s="162">
        <v>629395.02594000008</v>
      </c>
      <c r="F227" s="162">
        <v>90927.008432963295</v>
      </c>
      <c r="G227" s="10">
        <f t="shared" si="12"/>
        <v>118719757.06156702</v>
      </c>
      <c r="H227" s="21">
        <v>117.7</v>
      </c>
      <c r="I227" s="21">
        <v>11.4</v>
      </c>
      <c r="J227" s="10">
        <v>30</v>
      </c>
      <c r="K227" s="16">
        <v>1</v>
      </c>
      <c r="L227" s="163">
        <v>286.8</v>
      </c>
      <c r="M227" s="200">
        <v>336</v>
      </c>
      <c r="N227" s="265">
        <f>$W$18+$W$19*H227+$W$20*I227+$W$21*J227+$W$22*K227+$W$23*L227+$W$24*M227</f>
        <v>119835535.53509595</v>
      </c>
      <c r="O227" s="49">
        <f>N227-G227</f>
        <v>1115778.4735289216</v>
      </c>
      <c r="P227" s="110">
        <f>O227/G227</f>
        <v>9.3984228164339031E-3</v>
      </c>
      <c r="Q227" s="13">
        <f t="shared" si="13"/>
        <v>9.3984228164339031E-3</v>
      </c>
    </row>
    <row r="228" spans="1:18">
      <c r="A228" s="50">
        <f t="shared" si="11"/>
        <v>41943</v>
      </c>
      <c r="B228" s="161">
        <v>116443638.09999999</v>
      </c>
      <c r="D228" s="161">
        <v>1428423.7040000001</v>
      </c>
      <c r="E228" s="162">
        <v>607774.69202400011</v>
      </c>
      <c r="F228" s="162">
        <v>90237.909306193571</v>
      </c>
      <c r="G228" s="10">
        <f t="shared" si="12"/>
        <v>117781823.89469379</v>
      </c>
      <c r="H228" s="21">
        <v>257.10000000000002</v>
      </c>
      <c r="I228" s="21">
        <v>0</v>
      </c>
      <c r="J228" s="10">
        <v>31</v>
      </c>
      <c r="K228" s="16">
        <v>1</v>
      </c>
      <c r="L228" s="163">
        <v>290.7</v>
      </c>
      <c r="M228" s="200">
        <v>352</v>
      </c>
      <c r="N228" s="265">
        <f>$W$18+$W$19*H228+$W$20*I228+$W$21*J228+$W$22*K228+$W$23*L228+$W$24*M228</f>
        <v>126335427.47423409</v>
      </c>
      <c r="O228" s="49">
        <f>N228-G228</f>
        <v>8553603.5795402974</v>
      </c>
      <c r="P228" s="110">
        <f>O228/G228</f>
        <v>7.2622441194219331E-2</v>
      </c>
      <c r="Q228" s="13">
        <f t="shared" si="13"/>
        <v>7.2622441194219331E-2</v>
      </c>
    </row>
    <row r="229" spans="1:18">
      <c r="A229" s="50">
        <f t="shared" si="11"/>
        <v>41973</v>
      </c>
      <c r="B229" s="162">
        <v>122436755.47</v>
      </c>
      <c r="D229" s="162">
        <v>1164888.1840000001</v>
      </c>
      <c r="E229" s="162">
        <v>558747.47545200004</v>
      </c>
      <c r="F229" s="162">
        <v>94882.271080866034</v>
      </c>
      <c r="G229" s="10">
        <f t="shared" si="12"/>
        <v>123506761.38291913</v>
      </c>
      <c r="H229" s="21">
        <v>529.9</v>
      </c>
      <c r="I229" s="21">
        <v>0</v>
      </c>
      <c r="J229" s="10">
        <v>30</v>
      </c>
      <c r="K229" s="16">
        <v>1</v>
      </c>
      <c r="L229" s="163">
        <v>293.8</v>
      </c>
      <c r="M229" s="200">
        <v>304</v>
      </c>
      <c r="N229" s="265">
        <f>$W$18+$W$19*H229+$W$20*I229+$W$21*J229+$W$22*K229+$W$23*L229+$W$24*M229</f>
        <v>130226169.23675361</v>
      </c>
      <c r="O229" s="49">
        <f>N229-G229</f>
        <v>6719407.85383448</v>
      </c>
      <c r="P229" s="110">
        <f>O229/G229</f>
        <v>5.440518218271221E-2</v>
      </c>
      <c r="Q229" s="13">
        <f t="shared" si="13"/>
        <v>5.440518218271221E-2</v>
      </c>
    </row>
    <row r="230" spans="1:18">
      <c r="A230" s="50">
        <f t="shared" si="11"/>
        <v>42004</v>
      </c>
      <c r="B230" s="231">
        <v>127930695.509206</v>
      </c>
      <c r="D230" s="162">
        <v>1624797</v>
      </c>
      <c r="E230" s="162">
        <v>580527.35470799997</v>
      </c>
      <c r="F230" s="162">
        <v>99139.795760452078</v>
      </c>
      <c r="G230" s="10">
        <f t="shared" si="12"/>
        <v>129456352.71344554</v>
      </c>
      <c r="H230" s="21">
        <v>597.6</v>
      </c>
      <c r="I230" s="21">
        <v>0</v>
      </c>
      <c r="J230" s="10">
        <v>31</v>
      </c>
      <c r="K230" s="16">
        <v>0</v>
      </c>
      <c r="L230" s="163">
        <v>295.7</v>
      </c>
      <c r="M230" s="200">
        <v>336</v>
      </c>
      <c r="N230" s="265">
        <f>$W$18+$W$19*H230+$W$20*I230+$W$21*J230+$W$22*K230+$W$23*L230+$W$24*M230</f>
        <v>138856270.17003763</v>
      </c>
      <c r="O230" s="49">
        <f>N230-G230</f>
        <v>9399917.456592083</v>
      </c>
      <c r="P230" s="110">
        <f>O230/G230</f>
        <v>7.2610708239239555E-2</v>
      </c>
      <c r="Q230" s="13">
        <f t="shared" si="13"/>
        <v>7.2610708239239555E-2</v>
      </c>
    </row>
    <row r="231" spans="1:18">
      <c r="A231" s="50">
        <f>EOMONTH(A230,1)</f>
        <v>42035</v>
      </c>
      <c r="H231" s="138">
        <f>(H27+H39+H51+H63+H75+H87+H99+H111+H123+H135+H147+H159+H171+H183+H195+H207+H219+H3+H15)/19</f>
        <v>752.14736842105253</v>
      </c>
      <c r="I231" s="138">
        <f>(I27+I39+I51+I63+I75+I87+I99+I111+I123+I135+I147+I159+I171+I183+I195+I207+I219+I3+I15)/19</f>
        <v>0</v>
      </c>
      <c r="J231" s="10">
        <v>31</v>
      </c>
      <c r="K231" s="16">
        <v>0</v>
      </c>
      <c r="L231" s="163">
        <f>AVERAGE(L183:L230)</f>
        <v>280.56874999999997</v>
      </c>
      <c r="M231" s="200">
        <v>336</v>
      </c>
      <c r="N231" s="265">
        <f>$W$18+$W$19*H231+$W$20*I231+$W$21*J231+$W$22*K231+$W$23*L231+$W$24*M231</f>
        <v>136483173.71854907</v>
      </c>
      <c r="O231"/>
      <c r="P231"/>
      <c r="Q231" s="5">
        <f>AVERAGE(Q27:Q230)</f>
        <v>2.7477324596783138E-2</v>
      </c>
      <c r="R231" s="111" t="s">
        <v>91</v>
      </c>
    </row>
    <row r="232" spans="1:18">
      <c r="A232" s="50">
        <f t="shared" si="11"/>
        <v>42063</v>
      </c>
      <c r="H232" s="138">
        <f t="shared" ref="H232:I242" si="14">(H28+H40+H52+H64+H76+H88+H100+H112+H124+H136+H148+H160+H172+H184+H196+H208+H220+H4+H16)/19</f>
        <v>664.25789473684222</v>
      </c>
      <c r="I232" s="138">
        <f t="shared" si="14"/>
        <v>0</v>
      </c>
      <c r="J232" s="10">
        <v>28</v>
      </c>
      <c r="K232" s="16">
        <v>0</v>
      </c>
      <c r="L232" s="163">
        <f t="shared" ref="L232:L254" si="15">+L231</f>
        <v>280.56874999999997</v>
      </c>
      <c r="M232" s="200">
        <v>304</v>
      </c>
      <c r="N232" s="265">
        <f>$W$18+$W$19*H232+$W$20*I232+$W$21*J232+$W$22*K232+$W$23*L232+$W$24*M232</f>
        <v>126202497.24124277</v>
      </c>
      <c r="O232"/>
      <c r="P232"/>
    </row>
    <row r="233" spans="1:18">
      <c r="A233" s="50">
        <f t="shared" si="11"/>
        <v>42094</v>
      </c>
      <c r="H233" s="138">
        <f t="shared" si="14"/>
        <v>585.23157894736835</v>
      </c>
      <c r="I233" s="138">
        <f t="shared" si="14"/>
        <v>0</v>
      </c>
      <c r="J233" s="10">
        <v>31</v>
      </c>
      <c r="K233" s="16">
        <v>1</v>
      </c>
      <c r="L233" s="163">
        <f t="shared" si="15"/>
        <v>280.56874999999997</v>
      </c>
      <c r="M233" s="200">
        <v>352</v>
      </c>
      <c r="N233" s="265">
        <f>$W$18+$W$19*H233+$W$20*I233+$W$21*J233+$W$22*K233+$W$23*L233+$W$24*M233</f>
        <v>130991800.48122194</v>
      </c>
      <c r="O233"/>
      <c r="P233"/>
    </row>
    <row r="234" spans="1:18">
      <c r="A234" s="50">
        <f t="shared" si="11"/>
        <v>42124</v>
      </c>
      <c r="H234" s="138">
        <f t="shared" si="14"/>
        <v>353.61052631578946</v>
      </c>
      <c r="I234" s="138">
        <f t="shared" si="14"/>
        <v>0.55263157894736847</v>
      </c>
      <c r="J234" s="10">
        <v>30</v>
      </c>
      <c r="K234" s="16">
        <v>1</v>
      </c>
      <c r="L234" s="163">
        <f t="shared" si="15"/>
        <v>280.56874999999997</v>
      </c>
      <c r="M234" s="200">
        <v>336</v>
      </c>
      <c r="N234" s="265">
        <f>$W$18+$W$19*H234+$W$20*I234+$W$21*J234+$W$22*K234+$W$23*L234+$W$24*M234</f>
        <v>121690459.8433129</v>
      </c>
      <c r="O234"/>
      <c r="P234"/>
    </row>
    <row r="235" spans="1:18">
      <c r="A235" s="50">
        <f t="shared" si="11"/>
        <v>42155</v>
      </c>
      <c r="H235" s="138">
        <f t="shared" si="14"/>
        <v>180.77894736842103</v>
      </c>
      <c r="I235" s="138">
        <f t="shared" si="14"/>
        <v>9.9263157894736835</v>
      </c>
      <c r="J235" s="10">
        <v>31</v>
      </c>
      <c r="K235" s="16">
        <v>1</v>
      </c>
      <c r="L235" s="163">
        <f t="shared" si="15"/>
        <v>280.56874999999997</v>
      </c>
      <c r="M235" s="200">
        <v>320</v>
      </c>
      <c r="N235" s="265">
        <f>$W$18+$W$19*H235+$W$20*I235+$W$21*J235+$W$22*K235+$W$23*L235+$W$24*M235</f>
        <v>119441319.97365224</v>
      </c>
      <c r="O235"/>
      <c r="P235"/>
    </row>
    <row r="236" spans="1:18">
      <c r="A236" s="50">
        <f t="shared" si="11"/>
        <v>42185</v>
      </c>
      <c r="H236" s="138">
        <f t="shared" si="14"/>
        <v>47.963157894736845</v>
      </c>
      <c r="I236" s="138">
        <f t="shared" si="14"/>
        <v>46.405263157894737</v>
      </c>
      <c r="J236" s="10">
        <v>30</v>
      </c>
      <c r="K236" s="16">
        <v>0</v>
      </c>
      <c r="L236" s="163">
        <f t="shared" si="15"/>
        <v>280.56874999999997</v>
      </c>
      <c r="M236" s="200">
        <v>352</v>
      </c>
      <c r="N236" s="265">
        <f>$W$18+$W$19*H236+$W$20*I236+$W$21*J236+$W$22*K236+$W$23*L236+$W$24*M236</f>
        <v>124413428.21883255</v>
      </c>
      <c r="O236"/>
      <c r="P236"/>
    </row>
    <row r="237" spans="1:18">
      <c r="A237" s="50">
        <f t="shared" si="11"/>
        <v>42216</v>
      </c>
      <c r="H237" s="138">
        <f t="shared" si="14"/>
        <v>14.54736842105263</v>
      </c>
      <c r="I237" s="138">
        <f t="shared" si="14"/>
        <v>78.989473684210523</v>
      </c>
      <c r="J237" s="10">
        <v>31</v>
      </c>
      <c r="K237" s="16">
        <v>0</v>
      </c>
      <c r="L237" s="163">
        <f t="shared" si="15"/>
        <v>280.56874999999997</v>
      </c>
      <c r="M237" s="200">
        <v>352</v>
      </c>
      <c r="N237" s="265">
        <f>$W$18+$W$19*H237+$W$20*I237+$W$21*J237+$W$22*K237+$W$23*L237+$W$24*M237</f>
        <v>131275643.16115363</v>
      </c>
    </row>
    <row r="238" spans="1:18">
      <c r="A238" s="50">
        <f t="shared" si="11"/>
        <v>42247</v>
      </c>
      <c r="H238" s="138">
        <f t="shared" si="14"/>
        <v>22.694736842105257</v>
      </c>
      <c r="I238" s="138">
        <f t="shared" si="14"/>
        <v>55.121052631578955</v>
      </c>
      <c r="J238" s="10">
        <v>31</v>
      </c>
      <c r="K238" s="16">
        <v>0</v>
      </c>
      <c r="L238" s="163">
        <f t="shared" si="15"/>
        <v>280.56874999999997</v>
      </c>
      <c r="M238" s="200">
        <v>320</v>
      </c>
      <c r="N238" s="265">
        <f>$W$18+$W$19*H238+$W$20*I238+$W$21*J238+$W$22*K238+$W$23*L238+$W$24*M238</f>
        <v>125099126.42610747</v>
      </c>
    </row>
    <row r="239" spans="1:18">
      <c r="A239" s="50">
        <f t="shared" si="11"/>
        <v>42277</v>
      </c>
      <c r="H239" s="138">
        <f t="shared" si="14"/>
        <v>99.494736842105283</v>
      </c>
      <c r="I239" s="138">
        <f t="shared" si="14"/>
        <v>17.573684210526313</v>
      </c>
      <c r="J239" s="10">
        <v>30</v>
      </c>
      <c r="K239" s="16">
        <v>1</v>
      </c>
      <c r="L239" s="163">
        <f t="shared" si="15"/>
        <v>280.56874999999997</v>
      </c>
      <c r="M239" s="200">
        <v>336</v>
      </c>
      <c r="N239" s="265">
        <f>$W$18+$W$19*H239+$W$20*I239+$W$21*J239+$W$22*K239+$W$23*L239+$W$24*M239</f>
        <v>117696522.80574541</v>
      </c>
    </row>
    <row r="240" spans="1:18">
      <c r="A240" s="50">
        <f t="shared" si="11"/>
        <v>42308</v>
      </c>
      <c r="H240" s="138">
        <f t="shared" si="14"/>
        <v>287.43684210526311</v>
      </c>
      <c r="I240" s="138">
        <f t="shared" si="14"/>
        <v>0.84736842105263166</v>
      </c>
      <c r="J240" s="10">
        <v>31</v>
      </c>
      <c r="K240" s="16">
        <v>1</v>
      </c>
      <c r="L240" s="163">
        <f t="shared" si="15"/>
        <v>280.56874999999997</v>
      </c>
      <c r="M240" s="200">
        <v>336</v>
      </c>
      <c r="N240" s="265">
        <f>$W$18+$W$19*H240+$W$20*I240+$W$21*J240+$W$22*K240+$W$23*L240+$W$24*M240</f>
        <v>121817338.75972709</v>
      </c>
    </row>
    <row r="241" spans="1:14">
      <c r="A241" s="50">
        <f t="shared" si="11"/>
        <v>42338</v>
      </c>
      <c r="H241" s="138">
        <f t="shared" si="14"/>
        <v>455.51578947368415</v>
      </c>
      <c r="I241" s="138">
        <f t="shared" si="14"/>
        <v>0</v>
      </c>
      <c r="J241" s="10">
        <v>30</v>
      </c>
      <c r="K241" s="16">
        <v>1</v>
      </c>
      <c r="L241" s="163">
        <f t="shared" si="15"/>
        <v>280.56874999999997</v>
      </c>
      <c r="M241" s="200">
        <v>320</v>
      </c>
      <c r="N241" s="265">
        <f>$W$18+$W$19*H241+$W$20*I241+$W$21*J241+$W$22*K241+$W$23*L241+$W$24*M241</f>
        <v>123375008.71844423</v>
      </c>
    </row>
    <row r="242" spans="1:14">
      <c r="A242" s="50">
        <f t="shared" si="11"/>
        <v>42369</v>
      </c>
      <c r="H242" s="138">
        <f t="shared" si="14"/>
        <v>647.36842105263156</v>
      </c>
      <c r="I242" s="138">
        <f t="shared" si="14"/>
        <v>0</v>
      </c>
      <c r="J242" s="10">
        <v>31</v>
      </c>
      <c r="K242" s="16">
        <v>0</v>
      </c>
      <c r="L242" s="163">
        <f t="shared" si="15"/>
        <v>280.56874999999997</v>
      </c>
      <c r="M242" s="200">
        <v>352</v>
      </c>
      <c r="N242" s="265">
        <f>$W$18+$W$19*H242+$W$20*I242+$W$21*J242+$W$22*K242+$W$23*L242+$W$24*M242</f>
        <v>134619048.35693839</v>
      </c>
    </row>
    <row r="243" spans="1:14">
      <c r="A243" s="50">
        <f t="shared" si="11"/>
        <v>42400</v>
      </c>
      <c r="H243" s="138">
        <f>H231</f>
        <v>752.14736842105253</v>
      </c>
      <c r="I243" s="138">
        <f>I231</f>
        <v>0</v>
      </c>
      <c r="J243" s="10">
        <v>31</v>
      </c>
      <c r="K243" s="16">
        <v>0</v>
      </c>
      <c r="L243" s="163">
        <f t="shared" si="15"/>
        <v>280.56874999999997</v>
      </c>
      <c r="M243" s="200">
        <v>320</v>
      </c>
      <c r="N243" s="265">
        <f>$W$18+$W$19*H243+$W$20*I243+$W$21*J243+$W$22*K243+$W$23*L243+$W$24*M243</f>
        <v>135434471.7118662</v>
      </c>
    </row>
    <row r="244" spans="1:14">
      <c r="A244" s="50">
        <f t="shared" si="11"/>
        <v>42429</v>
      </c>
      <c r="H244" s="138">
        <f t="shared" ref="H244:I254" si="16">H232</f>
        <v>664.25789473684222</v>
      </c>
      <c r="I244" s="138">
        <f t="shared" si="16"/>
        <v>0</v>
      </c>
      <c r="J244" s="10">
        <v>28</v>
      </c>
      <c r="K244" s="16">
        <v>0</v>
      </c>
      <c r="L244" s="163">
        <f t="shared" si="15"/>
        <v>280.56874999999997</v>
      </c>
      <c r="M244" s="200">
        <v>320</v>
      </c>
      <c r="N244" s="265">
        <f>$W$18+$W$19*H244+$W$20*I244+$W$21*J244+$W$22*K244+$W$23*L244+$W$24*M244</f>
        <v>127251199.24792564</v>
      </c>
    </row>
    <row r="245" spans="1:14">
      <c r="A245" s="50">
        <f t="shared" si="11"/>
        <v>42460</v>
      </c>
      <c r="H245" s="138">
        <f t="shared" si="16"/>
        <v>585.23157894736835</v>
      </c>
      <c r="I245" s="138">
        <f t="shared" si="16"/>
        <v>0</v>
      </c>
      <c r="J245" s="10">
        <v>31</v>
      </c>
      <c r="K245" s="16">
        <v>1</v>
      </c>
      <c r="L245" s="163">
        <f t="shared" si="15"/>
        <v>280.56874999999997</v>
      </c>
      <c r="M245" s="200">
        <v>352</v>
      </c>
      <c r="N245" s="265">
        <f>$W$18+$W$19*H245+$W$20*I245+$W$21*J245+$W$22*K245+$W$23*L245+$W$24*M245</f>
        <v>130991800.48122194</v>
      </c>
    </row>
    <row r="246" spans="1:14">
      <c r="A246" s="50">
        <f t="shared" si="11"/>
        <v>42490</v>
      </c>
      <c r="H246" s="138">
        <f t="shared" si="16"/>
        <v>353.61052631578946</v>
      </c>
      <c r="I246" s="138">
        <f t="shared" si="16"/>
        <v>0.55263157894736847</v>
      </c>
      <c r="J246" s="10">
        <v>30</v>
      </c>
      <c r="K246" s="16">
        <v>1</v>
      </c>
      <c r="L246" s="163">
        <f t="shared" si="15"/>
        <v>280.56874999999997</v>
      </c>
      <c r="M246" s="200">
        <v>336</v>
      </c>
      <c r="N246" s="265">
        <f>$W$18+$W$19*H246+$W$20*I246+$W$21*J246+$W$22*K246+$W$23*L246+$W$24*M246</f>
        <v>121690459.8433129</v>
      </c>
    </row>
    <row r="247" spans="1:14">
      <c r="A247" s="50">
        <f t="shared" ref="A247:A254" si="17">EOMONTH(A246,1)</f>
        <v>42521</v>
      </c>
      <c r="H247" s="138">
        <f t="shared" si="16"/>
        <v>180.77894736842103</v>
      </c>
      <c r="I247" s="138">
        <f t="shared" si="16"/>
        <v>9.9263157894736835</v>
      </c>
      <c r="J247" s="10">
        <v>31</v>
      </c>
      <c r="K247" s="16">
        <v>1</v>
      </c>
      <c r="L247" s="163">
        <f t="shared" si="15"/>
        <v>280.56874999999997</v>
      </c>
      <c r="M247" s="200">
        <v>336</v>
      </c>
      <c r="N247" s="265">
        <f>$W$18+$W$19*H247+$W$20*I247+$W$21*J247+$W$22*K247+$W$23*L247+$W$24*M247</f>
        <v>120490021.98033512</v>
      </c>
    </row>
    <row r="248" spans="1:14">
      <c r="A248" s="50">
        <f t="shared" si="17"/>
        <v>42551</v>
      </c>
      <c r="H248" s="138">
        <f t="shared" si="16"/>
        <v>47.963157894736845</v>
      </c>
      <c r="I248" s="138">
        <f t="shared" si="16"/>
        <v>46.405263157894737</v>
      </c>
      <c r="J248" s="10">
        <v>30</v>
      </c>
      <c r="K248" s="16">
        <v>0</v>
      </c>
      <c r="L248" s="163">
        <f t="shared" si="15"/>
        <v>280.56874999999997</v>
      </c>
      <c r="M248" s="200">
        <v>352</v>
      </c>
      <c r="N248" s="265">
        <f>$W$18+$W$19*H248+$W$20*I248+$W$21*J248+$W$22*K248+$W$23*L248+$W$24*M248</f>
        <v>124413428.21883255</v>
      </c>
    </row>
    <row r="249" spans="1:14">
      <c r="A249" s="50">
        <f t="shared" si="17"/>
        <v>42582</v>
      </c>
      <c r="H249" s="138">
        <f t="shared" si="16"/>
        <v>14.54736842105263</v>
      </c>
      <c r="I249" s="138">
        <f t="shared" si="16"/>
        <v>78.989473684210523</v>
      </c>
      <c r="J249" s="10">
        <v>31</v>
      </c>
      <c r="K249" s="16">
        <v>0</v>
      </c>
      <c r="L249" s="163">
        <f t="shared" si="15"/>
        <v>280.56874999999997</v>
      </c>
      <c r="M249" s="200">
        <v>320</v>
      </c>
      <c r="N249" s="265">
        <f>$W$18+$W$19*H249+$W$20*I249+$W$21*J249+$W$22*K249+$W$23*L249+$W$24*M249</f>
        <v>129178239.1477879</v>
      </c>
    </row>
    <row r="250" spans="1:14">
      <c r="A250" s="50">
        <f t="shared" si="17"/>
        <v>42613</v>
      </c>
      <c r="H250" s="138">
        <f t="shared" si="16"/>
        <v>22.694736842105257</v>
      </c>
      <c r="I250" s="138">
        <f t="shared" si="16"/>
        <v>55.121052631578955</v>
      </c>
      <c r="J250" s="10">
        <v>31</v>
      </c>
      <c r="K250" s="16">
        <v>0</v>
      </c>
      <c r="L250" s="163">
        <f t="shared" si="15"/>
        <v>280.56874999999997</v>
      </c>
      <c r="M250" s="200">
        <v>352</v>
      </c>
      <c r="N250" s="265">
        <f>$W$18+$W$19*H250+$W$20*I250+$W$21*J250+$W$22*K250+$W$23*L250+$W$24*M250</f>
        <v>127196530.4394732</v>
      </c>
    </row>
    <row r="251" spans="1:14">
      <c r="A251" s="50">
        <f t="shared" si="17"/>
        <v>42643</v>
      </c>
      <c r="H251" s="138">
        <f t="shared" si="16"/>
        <v>99.494736842105283</v>
      </c>
      <c r="I251" s="138">
        <f t="shared" si="16"/>
        <v>17.573684210526313</v>
      </c>
      <c r="J251" s="10">
        <v>30</v>
      </c>
      <c r="K251" s="16">
        <v>1</v>
      </c>
      <c r="L251" s="163">
        <f t="shared" si="15"/>
        <v>280.56874999999997</v>
      </c>
      <c r="M251" s="200">
        <v>336</v>
      </c>
      <c r="N251" s="265">
        <f>$W$18+$W$19*H251+$W$20*I251+$W$21*J251+$W$22*K251+$W$23*L251+$W$24*M251</f>
        <v>117696522.80574541</v>
      </c>
    </row>
    <row r="252" spans="1:14">
      <c r="A252" s="50">
        <f t="shared" si="17"/>
        <v>42674</v>
      </c>
      <c r="H252" s="138">
        <f t="shared" si="16"/>
        <v>287.43684210526311</v>
      </c>
      <c r="I252" s="138">
        <f t="shared" si="16"/>
        <v>0.84736842105263166</v>
      </c>
      <c r="J252" s="10">
        <v>31</v>
      </c>
      <c r="K252" s="16">
        <v>1</v>
      </c>
      <c r="L252" s="163">
        <f t="shared" si="15"/>
        <v>280.56874999999997</v>
      </c>
      <c r="M252" s="200">
        <v>320</v>
      </c>
      <c r="N252" s="265">
        <f>$W$18+$W$19*H252+$W$20*I252+$W$21*J252+$W$22*K252+$W$23*L252+$W$24*M252</f>
        <v>120768636.75304422</v>
      </c>
    </row>
    <row r="253" spans="1:14">
      <c r="A253" s="50">
        <f t="shared" si="17"/>
        <v>42704</v>
      </c>
      <c r="H253" s="138">
        <f t="shared" si="16"/>
        <v>455.51578947368415</v>
      </c>
      <c r="I253" s="138">
        <f t="shared" si="16"/>
        <v>0</v>
      </c>
      <c r="J253" s="10">
        <v>30</v>
      </c>
      <c r="K253" s="16">
        <v>1</v>
      </c>
      <c r="L253" s="163">
        <f t="shared" si="15"/>
        <v>280.56874999999997</v>
      </c>
      <c r="M253" s="200">
        <v>336</v>
      </c>
      <c r="N253" s="265">
        <f>$W$18+$W$19*H253+$W$20*I253+$W$21*J253+$W$22*K253+$W$23*L253+$W$24*M253</f>
        <v>124423710.72512709</v>
      </c>
    </row>
    <row r="254" spans="1:14">
      <c r="A254" s="50">
        <f t="shared" si="17"/>
        <v>42735</v>
      </c>
      <c r="H254" s="138">
        <f t="shared" si="16"/>
        <v>647.36842105263156</v>
      </c>
      <c r="I254" s="138">
        <f t="shared" si="16"/>
        <v>0</v>
      </c>
      <c r="J254" s="10">
        <v>31</v>
      </c>
      <c r="K254" s="16">
        <v>0</v>
      </c>
      <c r="L254" s="163">
        <f t="shared" si="15"/>
        <v>280.56874999999997</v>
      </c>
      <c r="M254" s="200">
        <v>336</v>
      </c>
      <c r="N254" s="265">
        <f>$W$18+$W$19*H254+$W$20*I254+$W$21*J254+$W$22*K254+$W$23*L254+$W$24*M254</f>
        <v>133570346.35025553</v>
      </c>
    </row>
    <row r="255" spans="1:14">
      <c r="A255" s="50"/>
      <c r="J255" s="10"/>
      <c r="K255" s="10"/>
      <c r="L255" s="164"/>
      <c r="M255" s="164"/>
    </row>
    <row r="256" spans="1:14">
      <c r="A256" s="50"/>
      <c r="H256" s="21"/>
      <c r="I256" s="55" t="s">
        <v>66</v>
      </c>
      <c r="J256" s="10"/>
      <c r="K256" s="10"/>
      <c r="L256" s="164"/>
      <c r="M256" s="164"/>
      <c r="N256" s="265">
        <f>SUM(N27:N254)</f>
        <v>25885386081.129368</v>
      </c>
    </row>
    <row r="257" spans="1:21">
      <c r="A257" s="50"/>
      <c r="J257" s="10"/>
      <c r="K257" s="10"/>
      <c r="L257" s="164"/>
      <c r="M257" s="164"/>
    </row>
    <row r="258" spans="1:21">
      <c r="A258" s="38">
        <v>1998</v>
      </c>
      <c r="G258" s="6">
        <f>SUM(G27:G38)</f>
        <v>1089938594.0000002</v>
      </c>
      <c r="J258" s="10"/>
      <c r="K258" s="10"/>
      <c r="L258" s="164"/>
      <c r="M258" s="164"/>
      <c r="N258" s="266">
        <f>SUM(N27:N38)</f>
        <v>1106904690.1855423</v>
      </c>
      <c r="O258" s="34">
        <f>N258-G258</f>
        <v>16966096.185542107</v>
      </c>
      <c r="P258" s="5">
        <f>O258/G258</f>
        <v>1.5566102786834707E-2</v>
      </c>
      <c r="Q258" s="5">
        <f>ABS(P258)</f>
        <v>1.5566102786834707E-2</v>
      </c>
      <c r="R258" s="5"/>
      <c r="S258" s="5"/>
    </row>
    <row r="259" spans="1:21">
      <c r="A259" s="51">
        <v>1999</v>
      </c>
      <c r="G259" s="6">
        <f>SUM(G39:G50)</f>
        <v>1136636397.1000001</v>
      </c>
      <c r="J259" s="10"/>
      <c r="K259" s="10"/>
      <c r="L259" s="164"/>
      <c r="M259" s="164"/>
      <c r="N259" s="266">
        <f>SUM(N39:N50)</f>
        <v>1184198548.6727269</v>
      </c>
      <c r="O259" s="34">
        <f>N259-G259</f>
        <v>47562151.572726727</v>
      </c>
      <c r="P259" s="5">
        <f>O259/G259</f>
        <v>4.1844649435893666E-2</v>
      </c>
      <c r="Q259" s="5">
        <f t="shared" ref="Q259:Q274" si="18">ABS(P259)</f>
        <v>4.1844649435893666E-2</v>
      </c>
      <c r="R259" s="5"/>
      <c r="S259" s="5"/>
    </row>
    <row r="260" spans="1:21">
      <c r="A260" s="38">
        <v>2000</v>
      </c>
      <c r="G260" s="6">
        <f>SUM(G51:G62)</f>
        <v>1173512817</v>
      </c>
      <c r="J260" s="10"/>
      <c r="K260" s="10"/>
      <c r="L260" s="164"/>
      <c r="M260" s="164"/>
      <c r="N260" s="266">
        <f>SUM(N51:N62)</f>
        <v>1184527834.548794</v>
      </c>
      <c r="O260" s="34">
        <f>N260-G260</f>
        <v>11015017.548794031</v>
      </c>
      <c r="P260" s="5">
        <f>O260/G260</f>
        <v>9.3863632243515842E-3</v>
      </c>
      <c r="Q260" s="5">
        <f t="shared" si="18"/>
        <v>9.3863632243515842E-3</v>
      </c>
      <c r="R260" s="5"/>
      <c r="S260" s="5"/>
    </row>
    <row r="261" spans="1:21">
      <c r="A261" s="51">
        <v>2001</v>
      </c>
      <c r="G261" s="6">
        <f>SUM(G63:G74)</f>
        <v>1205847416.1772089</v>
      </c>
      <c r="J261" s="10"/>
      <c r="K261" s="10"/>
      <c r="L261" s="164"/>
      <c r="M261" s="164"/>
      <c r="N261" s="266">
        <f>SUM(N63:N74)</f>
        <v>1206924843.2518015</v>
      </c>
      <c r="O261" s="34">
        <f>N261-G261</f>
        <v>1077427.0745925903</v>
      </c>
      <c r="P261" s="5">
        <f>O261/G261</f>
        <v>8.9350199713348624E-4</v>
      </c>
      <c r="Q261" s="5">
        <f t="shared" si="18"/>
        <v>8.9350199713348624E-4</v>
      </c>
      <c r="R261" s="5"/>
      <c r="S261" s="5"/>
    </row>
    <row r="262" spans="1:21">
      <c r="A262" s="38">
        <v>2002</v>
      </c>
      <c r="G262" s="6">
        <f>SUM(G75:G86)</f>
        <v>1286398646.9897749</v>
      </c>
      <c r="J262" s="10"/>
      <c r="K262" s="10"/>
      <c r="L262" s="164"/>
      <c r="M262" s="164"/>
      <c r="N262" s="266">
        <f>SUM(N75:N86)</f>
        <v>1238388155.5439377</v>
      </c>
      <c r="O262" s="34">
        <f>N262-G262</f>
        <v>-48010491.445837259</v>
      </c>
      <c r="P262" s="5">
        <f>O262/G262</f>
        <v>-3.7321627753716752E-2</v>
      </c>
      <c r="Q262" s="5">
        <f t="shared" si="18"/>
        <v>3.7321627753716752E-2</v>
      </c>
      <c r="R262" s="5"/>
      <c r="S262" s="5"/>
    </row>
    <row r="263" spans="1:21">
      <c r="A263" s="51">
        <v>2003</v>
      </c>
      <c r="G263" s="6">
        <f>SUM(G87:G98)</f>
        <v>1269973823.9361501</v>
      </c>
      <c r="J263" s="10"/>
      <c r="K263" s="10"/>
      <c r="L263" s="164"/>
      <c r="M263" s="164"/>
      <c r="N263" s="266">
        <f>SUM(N87:N98)</f>
        <v>1274021085.0252407</v>
      </c>
      <c r="O263" s="34">
        <f>N263-G263</f>
        <v>4047261.0890905857</v>
      </c>
      <c r="P263" s="5">
        <f>O263/G263</f>
        <v>3.1868854403207512E-3</v>
      </c>
      <c r="Q263" s="5">
        <f t="shared" si="18"/>
        <v>3.1868854403207512E-3</v>
      </c>
      <c r="R263" s="5"/>
      <c r="S263" s="5"/>
    </row>
    <row r="264" spans="1:21">
      <c r="A264" s="38">
        <v>2004</v>
      </c>
      <c r="G264" s="6">
        <f>SUM(G99:G110)</f>
        <v>1294310409.8232</v>
      </c>
      <c r="J264" s="10"/>
      <c r="K264" s="10"/>
      <c r="L264" s="164"/>
      <c r="M264" s="164"/>
      <c r="N264" s="266">
        <f>SUM(N99:N110)</f>
        <v>1286052695.5111763</v>
      </c>
      <c r="O264" s="34">
        <f>N264-G264</f>
        <v>-8257714.3120236397</v>
      </c>
      <c r="P264" s="5">
        <f>O264/G264</f>
        <v>-6.3800107372632706E-3</v>
      </c>
      <c r="Q264" s="5">
        <f t="shared" si="18"/>
        <v>6.3800107372632706E-3</v>
      </c>
      <c r="R264" s="5"/>
      <c r="S264" s="5"/>
    </row>
    <row r="265" spans="1:21">
      <c r="A265" s="51">
        <v>2005</v>
      </c>
      <c r="G265" s="6">
        <f>SUM(G111:G122)</f>
        <v>1358556812.9958501</v>
      </c>
      <c r="J265" s="10"/>
      <c r="K265" s="10"/>
      <c r="L265" s="164"/>
      <c r="M265" s="164"/>
      <c r="N265" s="266">
        <f>SUM(N111:N122)</f>
        <v>1387950220.9055583</v>
      </c>
      <c r="O265" s="34">
        <f>N265-G265</f>
        <v>29393407.909708261</v>
      </c>
      <c r="P265" s="5">
        <f>O265/G265</f>
        <v>2.1635759085327298E-2</v>
      </c>
      <c r="Q265" s="5">
        <f t="shared" si="18"/>
        <v>2.1635759085327298E-2</v>
      </c>
      <c r="R265" s="5"/>
      <c r="S265" s="5"/>
    </row>
    <row r="266" spans="1:21">
      <c r="A266" s="38">
        <v>2006</v>
      </c>
      <c r="G266" s="6">
        <f>SUM(G123:G134)</f>
        <v>1372533120.3491502</v>
      </c>
      <c r="J266" s="10"/>
      <c r="K266" s="10"/>
      <c r="L266" s="164"/>
      <c r="M266" s="164"/>
      <c r="N266" s="266">
        <f>SUM(N123:N134)</f>
        <v>1364186174.8404813</v>
      </c>
      <c r="O266" s="34">
        <f>N266-G266</f>
        <v>-8346945.5086688995</v>
      </c>
      <c r="P266" s="5">
        <f>O266/G266</f>
        <v>-6.0814164590400352E-3</v>
      </c>
      <c r="Q266" s="5">
        <f t="shared" si="18"/>
        <v>6.0814164590400352E-3</v>
      </c>
      <c r="R266" s="5"/>
      <c r="S266" s="5"/>
    </row>
    <row r="267" spans="1:21">
      <c r="A267" s="51">
        <v>2007</v>
      </c>
      <c r="G267" s="6">
        <f>SUM(G135:G146)</f>
        <v>1423569039</v>
      </c>
      <c r="L267" s="164"/>
      <c r="M267" s="164"/>
      <c r="N267" s="266">
        <f>SUM(N135:N146)</f>
        <v>1374953814.3709557</v>
      </c>
      <c r="O267" s="34">
        <f>N267-G267</f>
        <v>-48615224.629044294</v>
      </c>
      <c r="P267" s="5">
        <f>O267/G267</f>
        <v>-3.4150240204152325E-2</v>
      </c>
      <c r="Q267" s="5">
        <f t="shared" si="18"/>
        <v>3.4150240204152325E-2</v>
      </c>
      <c r="R267" s="5"/>
      <c r="S267" s="5"/>
    </row>
    <row r="268" spans="1:21">
      <c r="A268" s="38">
        <v>2008</v>
      </c>
      <c r="G268" s="6">
        <f>SUM(G147:G158)</f>
        <v>1421429683</v>
      </c>
      <c r="L268" s="164"/>
      <c r="M268" s="164"/>
      <c r="N268" s="266">
        <f>SUM(N147:N158)</f>
        <v>1399504550.6013935</v>
      </c>
      <c r="O268" s="34">
        <f>N268-G268</f>
        <v>-21925132.398606539</v>
      </c>
      <c r="P268" s="5">
        <f>O268/G268</f>
        <v>-1.5424704198052502E-2</v>
      </c>
      <c r="Q268" s="5">
        <f t="shared" si="18"/>
        <v>1.5424704198052502E-2</v>
      </c>
      <c r="R268" s="5"/>
      <c r="S268" s="5"/>
      <c r="T268" s="6"/>
      <c r="U268" s="56"/>
    </row>
    <row r="269" spans="1:21">
      <c r="A269" s="51">
        <v>2009</v>
      </c>
      <c r="G269" s="6">
        <f>SUM(G159:G170)</f>
        <v>1411764680.4000001</v>
      </c>
      <c r="L269" s="164"/>
      <c r="M269" s="164"/>
      <c r="N269" s="266">
        <f>SUM(N159:N170)</f>
        <v>1369103037.8964186</v>
      </c>
      <c r="O269" s="34">
        <f>N269-G269</f>
        <v>-42661642.503581524</v>
      </c>
      <c r="P269" s="5">
        <f>O269/G269</f>
        <v>-3.0218663985483795E-2</v>
      </c>
      <c r="Q269" s="5">
        <f t="shared" si="18"/>
        <v>3.0218663985483795E-2</v>
      </c>
      <c r="R269" s="5"/>
      <c r="S269" s="5"/>
      <c r="T269" s="6"/>
      <c r="U269" s="56"/>
    </row>
    <row r="270" spans="1:21">
      <c r="A270" s="38">
        <v>2010</v>
      </c>
      <c r="G270" s="6">
        <f>SUM(G171:G182)</f>
        <v>1479129865.4622219</v>
      </c>
      <c r="L270" s="164"/>
      <c r="M270" s="164"/>
      <c r="N270" s="266">
        <f>SUM(N171:N182)</f>
        <v>1421723729.3002489</v>
      </c>
      <c r="O270" s="34">
        <f>N270-G270</f>
        <v>-57406136.161973</v>
      </c>
      <c r="P270" s="5">
        <f>O270/G270</f>
        <v>-3.8810747793287116E-2</v>
      </c>
      <c r="Q270" s="5">
        <f t="shared" si="18"/>
        <v>3.8810747793287116E-2</v>
      </c>
      <c r="R270" s="5"/>
      <c r="S270" s="5"/>
      <c r="T270" s="6"/>
      <c r="U270" s="56"/>
    </row>
    <row r="271" spans="1:21">
      <c r="A271" s="51">
        <v>2011</v>
      </c>
      <c r="G271" s="6">
        <f>SUM(G183:G194)</f>
        <v>1488841980.79</v>
      </c>
      <c r="L271" s="164"/>
      <c r="M271" s="164"/>
      <c r="N271" s="214">
        <f>SUM(N183:N194)</f>
        <v>1492547995.4658337</v>
      </c>
      <c r="O271" s="34">
        <f>N271-G271</f>
        <v>3706014.6758337021</v>
      </c>
      <c r="P271" s="5">
        <f>O271/G271</f>
        <v>2.4891927576271324E-3</v>
      </c>
      <c r="Q271" s="5">
        <f t="shared" si="18"/>
        <v>2.4891927576271324E-3</v>
      </c>
      <c r="R271" s="5"/>
      <c r="S271" s="5"/>
      <c r="T271" s="6"/>
      <c r="U271" s="56"/>
    </row>
    <row r="272" spans="1:21">
      <c r="A272" s="38">
        <v>2012</v>
      </c>
      <c r="G272" s="6">
        <f>SUM(G195:G206)</f>
        <v>1495459949.0999999</v>
      </c>
      <c r="L272" s="164"/>
      <c r="M272" s="164"/>
      <c r="N272" s="214">
        <f>SUM(N195:N206)</f>
        <v>1496338276.8932972</v>
      </c>
      <c r="O272" s="34">
        <f>N272-G272</f>
        <v>878327.7932972908</v>
      </c>
      <c r="P272" s="5">
        <f>O272/G272</f>
        <v>5.8732953284766165E-4</v>
      </c>
      <c r="Q272" s="5">
        <f t="shared" si="18"/>
        <v>5.8732953284766165E-4</v>
      </c>
      <c r="R272" s="5"/>
      <c r="S272" s="5"/>
      <c r="T272" s="6"/>
      <c r="U272" s="56"/>
    </row>
    <row r="273" spans="1:21">
      <c r="A273" s="51">
        <v>2013</v>
      </c>
      <c r="G273" s="6">
        <f>SUM(G207:G218)</f>
        <v>1493043816.6187882</v>
      </c>
      <c r="L273" s="164"/>
      <c r="M273" s="164"/>
      <c r="N273" s="266">
        <f>SUM(N207:N218)</f>
        <v>1525289731.1147909</v>
      </c>
      <c r="O273" s="34">
        <f>N273-G273</f>
        <v>32245914.496002674</v>
      </c>
      <c r="P273" s="5">
        <f>O273/G273</f>
        <v>2.1597433469185232E-2</v>
      </c>
      <c r="Q273" s="5">
        <f t="shared" si="18"/>
        <v>2.1597433469185232E-2</v>
      </c>
      <c r="R273" s="5"/>
      <c r="S273" s="5"/>
      <c r="T273" s="6"/>
      <c r="U273" s="56"/>
    </row>
    <row r="274" spans="1:21">
      <c r="A274" s="38">
        <v>2014</v>
      </c>
      <c r="G274" s="6">
        <f>SUM(G219:G230)</f>
        <v>1490761014.1592579</v>
      </c>
      <c r="L274" s="164"/>
      <c r="M274" s="164"/>
      <c r="N274" s="266">
        <f>SUM(N219:N230)</f>
        <v>1546559961.5913262</v>
      </c>
      <c r="O274" s="34">
        <f>N274-G274</f>
        <v>55798947.432068348</v>
      </c>
      <c r="P274" s="5">
        <f>O274/G274</f>
        <v>3.7429840800832316E-2</v>
      </c>
      <c r="Q274" s="5">
        <f t="shared" si="18"/>
        <v>3.7429840800832316E-2</v>
      </c>
      <c r="R274" s="5"/>
      <c r="S274" s="5"/>
      <c r="T274" s="6"/>
      <c r="U274" s="56"/>
    </row>
    <row r="275" spans="1:21">
      <c r="A275" s="51">
        <v>2015</v>
      </c>
      <c r="L275" s="164"/>
      <c r="M275" s="164"/>
      <c r="N275" s="266">
        <f>SUM(N231:N242)</f>
        <v>1513105367.7049274</v>
      </c>
      <c r="O275" s="34"/>
      <c r="P275" s="5"/>
      <c r="Q275" s="5">
        <f>AVERAGE(Q258:Q274)</f>
        <v>1.9000262921255867E-2</v>
      </c>
      <c r="R275" s="6"/>
      <c r="S275" s="5"/>
      <c r="T275" s="6"/>
      <c r="U275" s="56"/>
    </row>
    <row r="276" spans="1:21">
      <c r="A276" s="38">
        <v>2016</v>
      </c>
      <c r="L276" s="164"/>
      <c r="M276" s="164"/>
      <c r="N276" s="266">
        <f>SUM(N243:N254)</f>
        <v>1513105367.7049274</v>
      </c>
      <c r="O276" s="34"/>
      <c r="P276" s="5"/>
      <c r="Q276" s="5"/>
      <c r="R276" s="6"/>
      <c r="S276" s="5"/>
      <c r="T276" s="6"/>
      <c r="U276" s="56"/>
    </row>
    <row r="277" spans="1:21">
      <c r="L277" s="164"/>
      <c r="M277" s="164"/>
      <c r="N277" s="266"/>
    </row>
    <row r="278" spans="1:21">
      <c r="A278" s="38" t="s">
        <v>144</v>
      </c>
      <c r="G278" s="6">
        <f>SUM(G258:G276)</f>
        <v>22891708066.901604</v>
      </c>
      <c r="L278" s="164"/>
      <c r="M278" s="164"/>
      <c r="N278" s="266">
        <f>SUM(N258:N274)</f>
        <v>22859175345.719524</v>
      </c>
      <c r="O278" s="49">
        <f>N278-G278</f>
        <v>-32532721.182079315</v>
      </c>
    </row>
    <row r="280" spans="1:21">
      <c r="N280" s="266">
        <f>SUM(N258:N276)</f>
        <v>25885386081.129379</v>
      </c>
      <c r="O280" s="49">
        <f>N256-N280</f>
        <v>0</v>
      </c>
    </row>
    <row r="281" spans="1:21">
      <c r="N281" s="267"/>
      <c r="O281" s="21"/>
      <c r="P281" s="21"/>
      <c r="Q281" s="21"/>
      <c r="R281" s="21"/>
      <c r="S281" s="21"/>
    </row>
    <row r="284" spans="1:21">
      <c r="G284" s="235" t="s">
        <v>124</v>
      </c>
      <c r="H284" s="236"/>
      <c r="I284" s="236"/>
    </row>
    <row r="285" spans="1:21">
      <c r="H285" s="138">
        <f>'Weather Analysis '!V8</f>
        <v>741.98000000000013</v>
      </c>
      <c r="I285" s="138">
        <f>'Weather Analysis '!V28</f>
        <v>0</v>
      </c>
      <c r="J285" s="10">
        <v>31</v>
      </c>
      <c r="K285" s="16">
        <v>0</v>
      </c>
      <c r="L285" s="16">
        <f>L243</f>
        <v>280.56874999999997</v>
      </c>
      <c r="M285" s="112">
        <f>M243</f>
        <v>320</v>
      </c>
      <c r="N285" s="212">
        <f>$W$18+$W$19*H285+$W$20*I285+$W$21*J285+$W$22*K285+$W$23*L285+$W$24*M285</f>
        <v>135151821.52550545</v>
      </c>
    </row>
    <row r="286" spans="1:21">
      <c r="H286" s="138">
        <f>'Weather Analysis '!V9</f>
        <v>685.67</v>
      </c>
      <c r="I286" s="138">
        <f>'Weather Analysis '!V29</f>
        <v>0</v>
      </c>
      <c r="J286" s="10">
        <v>28</v>
      </c>
      <c r="K286" s="16">
        <v>0</v>
      </c>
      <c r="L286" s="16">
        <f t="shared" ref="L286:L296" si="19">L285</f>
        <v>280.56874999999997</v>
      </c>
      <c r="M286" s="112">
        <f t="shared" ref="M286:M296" si="20">M285</f>
        <v>320</v>
      </c>
      <c r="N286" s="212">
        <f t="shared" ref="N286:N296" si="21">$W$18+$W$19*H286+$W$20*I286+$W$21*J286+$W$22*K286+$W$23*L286+$W$24*M286</f>
        <v>127846450.18134075</v>
      </c>
    </row>
    <row r="287" spans="1:21">
      <c r="H287" s="138">
        <f>'Weather Analysis '!V10</f>
        <v>590.59</v>
      </c>
      <c r="I287" s="138">
        <f>'Weather Analysis '!V30</f>
        <v>0</v>
      </c>
      <c r="J287" s="10">
        <v>31</v>
      </c>
      <c r="K287" s="16">
        <v>1</v>
      </c>
      <c r="L287" s="16">
        <f t="shared" si="19"/>
        <v>280.56874999999997</v>
      </c>
      <c r="M287" s="112">
        <f t="shared" si="20"/>
        <v>320</v>
      </c>
      <c r="N287" s="212">
        <f t="shared" si="21"/>
        <v>129043359.17348507</v>
      </c>
    </row>
    <row r="288" spans="1:21">
      <c r="H288" s="138">
        <f>'Weather Analysis '!V11</f>
        <v>346.96</v>
      </c>
      <c r="I288" s="138">
        <f>'Weather Analysis '!V31</f>
        <v>0.32</v>
      </c>
      <c r="J288" s="10">
        <v>30</v>
      </c>
      <c r="K288" s="16">
        <v>1</v>
      </c>
      <c r="L288" s="16">
        <f t="shared" si="19"/>
        <v>280.56874999999997</v>
      </c>
      <c r="M288" s="112">
        <f t="shared" si="20"/>
        <v>320</v>
      </c>
      <c r="N288" s="212">
        <f t="shared" si="21"/>
        <v>120414910.69772011</v>
      </c>
    </row>
    <row r="289" spans="7:16">
      <c r="H289" s="138">
        <f>'Weather Analysis '!V12</f>
        <v>175.32</v>
      </c>
      <c r="I289" s="138">
        <f>'Weather Analysis '!V32</f>
        <v>11.290000000000001</v>
      </c>
      <c r="J289" s="10">
        <v>31</v>
      </c>
      <c r="K289" s="16">
        <v>1</v>
      </c>
      <c r="L289" s="16">
        <f t="shared" si="19"/>
        <v>280.56874999999997</v>
      </c>
      <c r="M289" s="112">
        <f t="shared" si="20"/>
        <v>320</v>
      </c>
      <c r="N289" s="212">
        <f t="shared" si="21"/>
        <v>119535556.68399927</v>
      </c>
    </row>
    <row r="290" spans="7:16">
      <c r="H290" s="138">
        <f>'Weather Analysis '!V13</f>
        <v>44.14</v>
      </c>
      <c r="I290" s="138">
        <f>'Weather Analysis '!V33</f>
        <v>45.84</v>
      </c>
      <c r="J290" s="10">
        <v>30</v>
      </c>
      <c r="K290" s="16">
        <v>0</v>
      </c>
      <c r="L290" s="16">
        <f t="shared" si="19"/>
        <v>280.56874999999997</v>
      </c>
      <c r="M290" s="112">
        <f t="shared" si="20"/>
        <v>320</v>
      </c>
      <c r="N290" s="212">
        <f t="shared" si="21"/>
        <v>122107773.99706209</v>
      </c>
    </row>
    <row r="291" spans="7:16">
      <c r="H291" s="138">
        <f>'Weather Analysis '!V14</f>
        <v>14.589999999999998</v>
      </c>
      <c r="I291" s="138">
        <f>'Weather Analysis '!V34</f>
        <v>85.65</v>
      </c>
      <c r="J291" s="10">
        <v>31</v>
      </c>
      <c r="K291" s="16">
        <v>0</v>
      </c>
      <c r="L291" s="16">
        <f t="shared" si="19"/>
        <v>280.56874999999997</v>
      </c>
      <c r="M291" s="112">
        <f t="shared" si="20"/>
        <v>320</v>
      </c>
      <c r="N291" s="212">
        <f t="shared" si="21"/>
        <v>130380911.88216373</v>
      </c>
    </row>
    <row r="292" spans="7:16">
      <c r="H292" s="138">
        <f>'Weather Analysis '!V15</f>
        <v>21.779999999999998</v>
      </c>
      <c r="I292" s="138">
        <f>'Weather Analysis '!V35</f>
        <v>54.040000000000006</v>
      </c>
      <c r="J292" s="10">
        <v>31</v>
      </c>
      <c r="K292" s="16">
        <v>0</v>
      </c>
      <c r="L292" s="16">
        <f t="shared" si="19"/>
        <v>280.56874999999997</v>
      </c>
      <c r="M292" s="112">
        <f t="shared" si="20"/>
        <v>320</v>
      </c>
      <c r="N292" s="212">
        <f t="shared" si="21"/>
        <v>124878686.66830683</v>
      </c>
    </row>
    <row r="293" spans="7:16">
      <c r="H293" s="138">
        <f>'Weather Analysis '!V16</f>
        <v>104.27000000000001</v>
      </c>
      <c r="I293" s="138">
        <f>'Weather Analysis '!V36</f>
        <v>15.25</v>
      </c>
      <c r="J293" s="10">
        <v>30</v>
      </c>
      <c r="K293" s="16">
        <v>1</v>
      </c>
      <c r="L293" s="16">
        <f t="shared" si="19"/>
        <v>280.56874999999997</v>
      </c>
      <c r="M293" s="112">
        <f t="shared" si="20"/>
        <v>320</v>
      </c>
      <c r="N293" s="212">
        <f t="shared" si="21"/>
        <v>116361404.13152063</v>
      </c>
    </row>
    <row r="294" spans="7:16">
      <c r="H294" s="138">
        <f>'Weather Analysis '!V17</f>
        <v>279.73999999999995</v>
      </c>
      <c r="I294" s="138">
        <f>'Weather Analysis '!V37</f>
        <v>1.35</v>
      </c>
      <c r="J294" s="10">
        <v>31</v>
      </c>
      <c r="K294" s="16">
        <v>1</v>
      </c>
      <c r="L294" s="16">
        <f t="shared" si="19"/>
        <v>280.56874999999997</v>
      </c>
      <c r="M294" s="112">
        <f t="shared" si="20"/>
        <v>320</v>
      </c>
      <c r="N294" s="212">
        <f t="shared" si="21"/>
        <v>120645335.9046866</v>
      </c>
    </row>
    <row r="295" spans="7:16">
      <c r="H295" s="138">
        <f>'Weather Analysis '!V18</f>
        <v>459.46999999999997</v>
      </c>
      <c r="I295" s="138">
        <f>'Weather Analysis '!V38</f>
        <v>0</v>
      </c>
      <c r="J295" s="10">
        <v>30</v>
      </c>
      <c r="K295" s="16">
        <v>1</v>
      </c>
      <c r="L295" s="16">
        <f t="shared" si="19"/>
        <v>280.56874999999997</v>
      </c>
      <c r="M295" s="112">
        <f t="shared" si="20"/>
        <v>320</v>
      </c>
      <c r="N295" s="212">
        <f t="shared" si="21"/>
        <v>123484934.73822519</v>
      </c>
    </row>
    <row r="296" spans="7:16">
      <c r="H296" s="138">
        <f>'Weather Analysis '!V19</f>
        <v>650.15000000000009</v>
      </c>
      <c r="I296" s="138">
        <f>'Weather Analysis '!V39</f>
        <v>0</v>
      </c>
      <c r="J296" s="10">
        <v>31</v>
      </c>
      <c r="K296" s="16">
        <v>0</v>
      </c>
      <c r="L296" s="16">
        <f t="shared" si="19"/>
        <v>280.56874999999997</v>
      </c>
      <c r="M296" s="112">
        <f t="shared" si="20"/>
        <v>320</v>
      </c>
      <c r="N296" s="212">
        <f t="shared" si="21"/>
        <v>132598971.51175347</v>
      </c>
      <c r="O296" s="49">
        <f>SUM(N285:N296)</f>
        <v>1502450117.0957694</v>
      </c>
      <c r="P296" s="49"/>
    </row>
    <row r="297" spans="7:16">
      <c r="N297" s="267"/>
    </row>
    <row r="298" spans="7:16">
      <c r="G298" s="235" t="s">
        <v>111</v>
      </c>
      <c r="H298" s="236"/>
      <c r="I298" s="236"/>
      <c r="J298" s="126"/>
      <c r="K298" s="126"/>
      <c r="N298" s="267"/>
      <c r="O298" s="126"/>
    </row>
    <row r="299" spans="7:16">
      <c r="H299" s="138">
        <f>'Weather Analysis '!W8</f>
        <v>761.02857142857147</v>
      </c>
      <c r="I299" s="138">
        <f>'Weather Analysis '!W28</f>
        <v>0</v>
      </c>
      <c r="J299" s="10">
        <v>31</v>
      </c>
      <c r="K299" s="16">
        <v>0</v>
      </c>
      <c r="L299" s="16">
        <f>L285</f>
        <v>280.56874999999997</v>
      </c>
      <c r="M299" s="112">
        <f>M285</f>
        <v>320</v>
      </c>
      <c r="N299" s="212">
        <f>$W$18+$W$19*H299+$W$20*I299+$W$21*J299+$W$22*K299+$W$23*L299+$W$24*M299</f>
        <v>135681366.8356806</v>
      </c>
      <c r="O299" s="126"/>
    </row>
    <row r="300" spans="7:16">
      <c r="H300" s="138">
        <f>'Weather Analysis '!W9</f>
        <v>699.41714285714352</v>
      </c>
      <c r="I300" s="138">
        <f>'Weather Analysis '!W29</f>
        <v>0</v>
      </c>
      <c r="J300" s="10">
        <v>28</v>
      </c>
      <c r="K300" s="16">
        <v>0</v>
      </c>
      <c r="L300" s="16">
        <f t="shared" ref="L300:L310" si="22">L299</f>
        <v>280.56874999999997</v>
      </c>
      <c r="M300" s="112">
        <f t="shared" ref="M300:M310" si="23">M299</f>
        <v>320</v>
      </c>
      <c r="N300" s="212">
        <f t="shared" ref="N300:N310" si="24">$W$18+$W$19*H300+$W$20*I300+$W$21*J300+$W$22*K300+$W$23*L300+$W$24*M300</f>
        <v>128228617.16197792</v>
      </c>
      <c r="O300" s="126"/>
    </row>
    <row r="301" spans="7:16">
      <c r="H301" s="138">
        <f>'Weather Analysis '!W10</f>
        <v>591.57428571428568</v>
      </c>
      <c r="I301" s="138">
        <f>'Weather Analysis '!W30</f>
        <v>0</v>
      </c>
      <c r="J301" s="10">
        <v>31</v>
      </c>
      <c r="K301" s="16">
        <v>1</v>
      </c>
      <c r="L301" s="16">
        <f t="shared" si="22"/>
        <v>280.56874999999997</v>
      </c>
      <c r="M301" s="112">
        <f t="shared" si="23"/>
        <v>320</v>
      </c>
      <c r="N301" s="212">
        <f t="shared" si="24"/>
        <v>129070722.0592441</v>
      </c>
      <c r="O301" s="126"/>
    </row>
    <row r="302" spans="7:16">
      <c r="H302" s="138">
        <f>'Weather Analysis '!W11</f>
        <v>339.73285714285703</v>
      </c>
      <c r="I302" s="138">
        <f>'Weather Analysis '!W31</f>
        <v>0.48000000000000043</v>
      </c>
      <c r="J302" s="10">
        <v>30</v>
      </c>
      <c r="K302" s="16">
        <v>1</v>
      </c>
      <c r="L302" s="16">
        <f t="shared" si="22"/>
        <v>280.56874999999997</v>
      </c>
      <c r="M302" s="112">
        <f t="shared" si="23"/>
        <v>320</v>
      </c>
      <c r="N302" s="212">
        <f t="shared" si="24"/>
        <v>120242860.29982814</v>
      </c>
      <c r="O302" s="126"/>
    </row>
    <row r="303" spans="7:16">
      <c r="H303" s="138">
        <f>'Weather Analysis '!W12</f>
        <v>164.99285714285725</v>
      </c>
      <c r="I303" s="138">
        <f>'Weather Analysis '!W32</f>
        <v>13.249999999999886</v>
      </c>
      <c r="J303" s="10">
        <v>31</v>
      </c>
      <c r="K303" s="16">
        <v>1</v>
      </c>
      <c r="L303" s="16">
        <f t="shared" si="22"/>
        <v>280.56874999999997</v>
      </c>
      <c r="M303" s="112">
        <f t="shared" si="23"/>
        <v>320</v>
      </c>
      <c r="N303" s="212">
        <f t="shared" si="24"/>
        <v>119602027.81094041</v>
      </c>
      <c r="O303" s="126"/>
    </row>
    <row r="304" spans="7:16">
      <c r="H304" s="138">
        <f>'Weather Analysis '!W13</f>
        <v>50.617142857142881</v>
      </c>
      <c r="I304" s="138">
        <f>'Weather Analysis '!W33</f>
        <v>36.537142857142953</v>
      </c>
      <c r="J304" s="10">
        <v>30</v>
      </c>
      <c r="K304" s="16">
        <v>0</v>
      </c>
      <c r="L304" s="16">
        <f t="shared" si="22"/>
        <v>280.56874999999997</v>
      </c>
      <c r="M304" s="112">
        <f t="shared" si="23"/>
        <v>320</v>
      </c>
      <c r="N304" s="212">
        <f t="shared" si="24"/>
        <v>120609701.11730888</v>
      </c>
      <c r="O304" s="126"/>
    </row>
    <row r="305" spans="8:15">
      <c r="H305" s="138">
        <f>'Weather Analysis '!W14</f>
        <v>15.297142857142859</v>
      </c>
      <c r="I305" s="138">
        <f>'Weather Analysis '!W34</f>
        <v>85.171428571428578</v>
      </c>
      <c r="J305" s="10">
        <v>31</v>
      </c>
      <c r="K305" s="16">
        <v>0</v>
      </c>
      <c r="L305" s="16">
        <f t="shared" si="22"/>
        <v>280.56874999999997</v>
      </c>
      <c r="M305" s="112">
        <f t="shared" si="23"/>
        <v>320</v>
      </c>
      <c r="N305" s="212">
        <f t="shared" si="24"/>
        <v>130314241.11050367</v>
      </c>
      <c r="O305" s="126"/>
    </row>
    <row r="306" spans="8:15">
      <c r="H306" s="138">
        <f>'Weather Analysis '!W15</f>
        <v>24.928571428571331</v>
      </c>
      <c r="I306" s="138">
        <f>'Weather Analysis '!W35</f>
        <v>48.937142857143044</v>
      </c>
      <c r="J306" s="10">
        <v>31</v>
      </c>
      <c r="K306" s="16">
        <v>0</v>
      </c>
      <c r="L306" s="16">
        <f t="shared" si="22"/>
        <v>280.56874999999997</v>
      </c>
      <c r="M306" s="112">
        <f t="shared" si="23"/>
        <v>320</v>
      </c>
      <c r="N306" s="212">
        <f t="shared" si="24"/>
        <v>124045715.37418211</v>
      </c>
      <c r="O306" s="126"/>
    </row>
    <row r="307" spans="8:15">
      <c r="H307" s="138">
        <f>'Weather Analysis '!W16</f>
        <v>105.56000000000006</v>
      </c>
      <c r="I307" s="138">
        <f>'Weather Analysis '!W36</f>
        <v>16.205714285714294</v>
      </c>
      <c r="J307" s="10">
        <v>30</v>
      </c>
      <c r="K307" s="16">
        <v>1</v>
      </c>
      <c r="L307" s="16">
        <f t="shared" si="22"/>
        <v>280.56874999999997</v>
      </c>
      <c r="M307" s="112">
        <f t="shared" si="23"/>
        <v>320</v>
      </c>
      <c r="N307" s="212">
        <f t="shared" si="24"/>
        <v>116569666.41235083</v>
      </c>
      <c r="O307" s="126"/>
    </row>
    <row r="308" spans="8:15">
      <c r="H308" s="138">
        <f>'Weather Analysis '!W17</f>
        <v>281.89571428571435</v>
      </c>
      <c r="I308" s="138">
        <f>'Weather Analysis '!W37</f>
        <v>1.0057142857142836</v>
      </c>
      <c r="J308" s="10">
        <v>31</v>
      </c>
      <c r="K308" s="16">
        <v>1</v>
      </c>
      <c r="L308" s="16">
        <f t="shared" si="22"/>
        <v>280.56874999999997</v>
      </c>
      <c r="M308" s="112">
        <f t="shared" si="23"/>
        <v>320</v>
      </c>
      <c r="N308" s="212">
        <f t="shared" si="24"/>
        <v>120643158.74451271</v>
      </c>
      <c r="O308" s="126"/>
    </row>
    <row r="309" spans="8:15">
      <c r="H309" s="138">
        <f>'Weather Analysis '!W18</f>
        <v>454.36285714285714</v>
      </c>
      <c r="I309" s="138">
        <f>'Weather Analysis '!W38</f>
        <v>0</v>
      </c>
      <c r="J309" s="10">
        <v>30</v>
      </c>
      <c r="K309" s="16">
        <v>1</v>
      </c>
      <c r="L309" s="16">
        <f t="shared" si="22"/>
        <v>280.56874999999997</v>
      </c>
      <c r="M309" s="112">
        <f t="shared" si="23"/>
        <v>320</v>
      </c>
      <c r="N309" s="212">
        <f t="shared" si="24"/>
        <v>123342957.50079635</v>
      </c>
      <c r="O309" s="126"/>
    </row>
    <row r="310" spans="8:15">
      <c r="H310" s="138">
        <f>'Weather Analysis '!W19</f>
        <v>644.83000000000015</v>
      </c>
      <c r="I310" s="138">
        <f>'Weather Analysis '!W39</f>
        <v>0</v>
      </c>
      <c r="J310" s="10">
        <v>31</v>
      </c>
      <c r="K310" s="16">
        <v>0</v>
      </c>
      <c r="L310" s="16">
        <f t="shared" si="22"/>
        <v>280.56874999999997</v>
      </c>
      <c r="M310" s="112">
        <f t="shared" si="23"/>
        <v>320</v>
      </c>
      <c r="N310" s="212">
        <f t="shared" si="24"/>
        <v>132451076.90135208</v>
      </c>
      <c r="O310" s="49">
        <f>SUM(N299:N310)</f>
        <v>1500802111.3286779</v>
      </c>
    </row>
  </sheetData>
  <mergeCells count="2">
    <mergeCell ref="G284:I284"/>
    <mergeCell ref="G298:I298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12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zoomScaleNormal="100" workbookViewId="0">
      <pane xSplit="1" ySplit="2" topLeftCell="M123" activePane="bottomRight" state="frozen"/>
      <selection activeCell="M35" sqref="M35"/>
      <selection pane="topRight" activeCell="M35" sqref="M35"/>
      <selection pane="bottomLeft" activeCell="M35" sqref="M35"/>
      <selection pane="bottomRight" activeCell="B3" sqref="B3"/>
    </sheetView>
  </sheetViews>
  <sheetFormatPr defaultRowHeight="13.2"/>
  <cols>
    <col min="1" max="1" width="21.664062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2" width="12.5546875" style="6" customWidth="1"/>
    <col min="13" max="13" width="11.33203125" style="6" customWidth="1"/>
    <col min="14" max="14" width="16.88671875" style="6" bestFit="1" customWidth="1"/>
    <col min="15" max="18" width="12.6640625" style="6" bestFit="1" customWidth="1"/>
    <col min="19" max="19" width="10.109375" style="6" bestFit="1" customWidth="1"/>
    <col min="20" max="20" width="11.109375" style="6" bestFit="1" customWidth="1"/>
  </cols>
  <sheetData>
    <row r="1" spans="1:20">
      <c r="A1" s="268"/>
      <c r="B1" s="21"/>
      <c r="C1" s="21"/>
      <c r="D1" s="21"/>
    </row>
    <row r="2" spans="1:20" ht="39.6">
      <c r="A2" s="269"/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3</v>
      </c>
      <c r="H2" s="46" t="s">
        <v>1</v>
      </c>
      <c r="I2" s="47" t="s">
        <v>62</v>
      </c>
      <c r="J2" s="219" t="s">
        <v>165</v>
      </c>
      <c r="K2" s="119" t="s">
        <v>94</v>
      </c>
      <c r="L2" s="119" t="s">
        <v>93</v>
      </c>
      <c r="M2" s="261" t="s">
        <v>64</v>
      </c>
      <c r="N2" s="48" t="s">
        <v>2</v>
      </c>
      <c r="O2" s="123" t="s">
        <v>145</v>
      </c>
    </row>
    <row r="4" spans="1:20">
      <c r="A4" s="21"/>
      <c r="B4" s="111" t="s">
        <v>170</v>
      </c>
    </row>
    <row r="5" spans="1:20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7" spans="1:20">
      <c r="A7">
        <f>'Purchased Power Model'!A258</f>
        <v>1998</v>
      </c>
      <c r="B7" s="6">
        <f>'Purchased Power Model'!G258</f>
        <v>1089938594.0000002</v>
      </c>
      <c r="C7" s="6">
        <f>'Purchased Power Model'!N258</f>
        <v>1106904690.1855423</v>
      </c>
      <c r="D7" s="34">
        <f>C7-B7</f>
        <v>16966096.185542107</v>
      </c>
      <c r="E7" s="5">
        <f>D7/B7</f>
        <v>1.5566102786834707E-2</v>
      </c>
    </row>
    <row r="8" spans="1:20">
      <c r="A8">
        <f>'Purchased Power Model'!A259</f>
        <v>1999</v>
      </c>
      <c r="B8" s="6">
        <f>'Purchased Power Model'!G259</f>
        <v>1136636397.1000001</v>
      </c>
      <c r="C8" s="6">
        <f>'Purchased Power Model'!N259</f>
        <v>1184198548.6727269</v>
      </c>
      <c r="D8" s="34">
        <f t="shared" ref="D8:D23" si="0">C8-B8</f>
        <v>47562151.572726727</v>
      </c>
      <c r="E8" s="5">
        <f t="shared" ref="E8:E23" si="1">D8/B8</f>
        <v>4.1844649435893666E-2</v>
      </c>
    </row>
    <row r="9" spans="1:20">
      <c r="A9">
        <f>'Purchased Power Model'!A260</f>
        <v>2000</v>
      </c>
      <c r="B9" s="6">
        <f>'Purchased Power Model'!G260</f>
        <v>1173512817</v>
      </c>
      <c r="C9" s="6">
        <f>'Purchased Power Model'!N260</f>
        <v>1184527834.548794</v>
      </c>
      <c r="D9" s="34">
        <f t="shared" si="0"/>
        <v>11015017.548794031</v>
      </c>
      <c r="E9" s="5">
        <f t="shared" si="1"/>
        <v>9.3863632243515842E-3</v>
      </c>
    </row>
    <row r="10" spans="1:20">
      <c r="A10">
        <f>'Purchased Power Model'!A261</f>
        <v>2001</v>
      </c>
      <c r="B10" s="6">
        <f>'Purchased Power Model'!G261</f>
        <v>1205847416.1772089</v>
      </c>
      <c r="C10" s="6">
        <f>'Purchased Power Model'!N261</f>
        <v>1206924843.2518015</v>
      </c>
      <c r="D10" s="34">
        <f t="shared" si="0"/>
        <v>1077427.0745925903</v>
      </c>
      <c r="E10" s="5">
        <f t="shared" si="1"/>
        <v>8.9350199713348624E-4</v>
      </c>
      <c r="F10" s="22"/>
    </row>
    <row r="11" spans="1:20">
      <c r="A11">
        <f>'Purchased Power Model'!A262</f>
        <v>2002</v>
      </c>
      <c r="B11" s="6">
        <f>'Purchased Power Model'!G262</f>
        <v>1286398646.9897749</v>
      </c>
      <c r="C11" s="6">
        <f>'Purchased Power Model'!N262</f>
        <v>1238388155.5439377</v>
      </c>
      <c r="D11" s="34">
        <f t="shared" si="0"/>
        <v>-48010491.445837259</v>
      </c>
      <c r="E11" s="5">
        <f>D11/B11</f>
        <v>-3.7321627753716752E-2</v>
      </c>
      <c r="F11" s="22"/>
      <c r="G11" s="25"/>
    </row>
    <row r="12" spans="1:20">
      <c r="A12">
        <f>'Purchased Power Model'!A263</f>
        <v>2003</v>
      </c>
      <c r="B12" s="6">
        <f>'Purchased Power Model'!G263</f>
        <v>1269973823.9361501</v>
      </c>
      <c r="C12" s="6">
        <f>'Purchased Power Model'!N263</f>
        <v>1274021085.0252407</v>
      </c>
      <c r="D12" s="34">
        <f t="shared" si="0"/>
        <v>4047261.0890905857</v>
      </c>
      <c r="E12" s="5">
        <f t="shared" si="1"/>
        <v>3.1868854403207512E-3</v>
      </c>
      <c r="F12" s="22">
        <f>1 +(B12-G12)/G12</f>
        <v>1.0436131025051307</v>
      </c>
      <c r="G12" s="25">
        <f t="shared" ref="G12:G19" si="2">SUM(H12:N12)</f>
        <v>1216900996.0565405</v>
      </c>
      <c r="H12" s="279">
        <v>381172837.66807127</v>
      </c>
      <c r="I12" s="279">
        <v>178733408.91393787</v>
      </c>
      <c r="J12" s="279">
        <v>581134405.32007647</v>
      </c>
      <c r="K12" s="279">
        <v>65433585.883026376</v>
      </c>
      <c r="L12" s="279"/>
      <c r="M12" s="279">
        <f>6845381.3+378000</f>
        <v>7223381.2999999998</v>
      </c>
      <c r="N12" s="279">
        <v>3203376.9714285713</v>
      </c>
    </row>
    <row r="13" spans="1:20">
      <c r="A13">
        <f>'Purchased Power Model'!A264</f>
        <v>2004</v>
      </c>
      <c r="B13" s="6">
        <f>'Purchased Power Model'!G264</f>
        <v>1294310409.8232</v>
      </c>
      <c r="C13" s="6">
        <f>'Purchased Power Model'!N264</f>
        <v>1286052695.5111763</v>
      </c>
      <c r="D13" s="34">
        <f t="shared" si="0"/>
        <v>-8257714.3120236397</v>
      </c>
      <c r="E13" s="5">
        <f t="shared" si="1"/>
        <v>-6.3800107372632706E-3</v>
      </c>
      <c r="F13" s="22">
        <f t="shared" ref="F13:F23" si="3">1 +(B13-G13)/G13</f>
        <v>1.0356655363087206</v>
      </c>
      <c r="G13" s="25">
        <f t="shared" si="2"/>
        <v>1249737839.5310242</v>
      </c>
      <c r="H13" s="279">
        <v>385085949.09113443</v>
      </c>
      <c r="I13" s="279">
        <v>181654717.71144453</v>
      </c>
      <c r="J13" s="279">
        <v>606602562.82914591</v>
      </c>
      <c r="K13" s="279">
        <v>66067057.488522306</v>
      </c>
      <c r="L13" s="279"/>
      <c r="M13" s="279">
        <f>6727156.64981349+378000</f>
        <v>7105156.64981349</v>
      </c>
      <c r="N13" s="279">
        <v>3222395.7609637091</v>
      </c>
    </row>
    <row r="14" spans="1:20">
      <c r="A14">
        <f>'Purchased Power Model'!A265</f>
        <v>2005</v>
      </c>
      <c r="B14" s="6">
        <f>'Purchased Power Model'!G265</f>
        <v>1358556812.9958501</v>
      </c>
      <c r="C14" s="6">
        <f>'Purchased Power Model'!N265</f>
        <v>1387950220.9055583</v>
      </c>
      <c r="D14" s="34">
        <f t="shared" si="0"/>
        <v>29393407.909708261</v>
      </c>
      <c r="E14" s="5">
        <f t="shared" si="1"/>
        <v>2.1635759085327298E-2</v>
      </c>
      <c r="F14" s="22">
        <f t="shared" si="3"/>
        <v>1.0413709405146025</v>
      </c>
      <c r="G14" s="25">
        <f t="shared" si="2"/>
        <v>1304584908.3560057</v>
      </c>
      <c r="H14" s="279">
        <v>408053980.68531799</v>
      </c>
      <c r="I14" s="279">
        <v>187375741.76912484</v>
      </c>
      <c r="J14" s="279">
        <v>627713059.1572262</v>
      </c>
      <c r="K14" s="279">
        <v>70553959.956197128</v>
      </c>
      <c r="L14" s="279"/>
      <c r="M14" s="279">
        <f>7324552.78813965+378000</f>
        <v>7702552.7881396497</v>
      </c>
      <c r="N14" s="279">
        <v>3185614</v>
      </c>
    </row>
    <row r="15" spans="1:20">
      <c r="A15">
        <f>'Purchased Power Model'!A266</f>
        <v>2006</v>
      </c>
      <c r="B15" s="6">
        <f>'Purchased Power Model'!G266</f>
        <v>1372533120.3491502</v>
      </c>
      <c r="C15" s="6">
        <f>'Purchased Power Model'!N266</f>
        <v>1364186174.8404813</v>
      </c>
      <c r="D15" s="34">
        <f t="shared" si="0"/>
        <v>-8346945.5086688995</v>
      </c>
      <c r="E15" s="5">
        <f t="shared" si="1"/>
        <v>-6.0814164590400352E-3</v>
      </c>
      <c r="F15" s="22">
        <f t="shared" si="3"/>
        <v>1.0350321412678614</v>
      </c>
      <c r="G15" s="25">
        <f t="shared" si="2"/>
        <v>1326077776.3556862</v>
      </c>
      <c r="H15" s="279">
        <v>391947394.97747368</v>
      </c>
      <c r="I15" s="279">
        <v>189284333.47635177</v>
      </c>
      <c r="J15" s="279">
        <v>660327537.80390346</v>
      </c>
      <c r="K15" s="279">
        <v>73668917.559980094</v>
      </c>
      <c r="L15" s="279"/>
      <c r="M15" s="279">
        <f>7335287.53797697+378000</f>
        <v>7713287.53797697</v>
      </c>
      <c r="N15" s="279">
        <v>3136305</v>
      </c>
    </row>
    <row r="16" spans="1:20">
      <c r="A16">
        <f>'Purchased Power Model'!A267</f>
        <v>2007</v>
      </c>
      <c r="B16" s="6">
        <f>'Purchased Power Model'!G267</f>
        <v>1423569039</v>
      </c>
      <c r="C16" s="6">
        <f>'Purchased Power Model'!N267</f>
        <v>1374953814.3709557</v>
      </c>
      <c r="D16" s="34">
        <f t="shared" si="0"/>
        <v>-48615224.629044294</v>
      </c>
      <c r="E16" s="5">
        <f t="shared" si="1"/>
        <v>-3.4150240204152325E-2</v>
      </c>
      <c r="F16" s="22">
        <f t="shared" si="3"/>
        <v>1.0409802171429687</v>
      </c>
      <c r="G16" s="25">
        <f t="shared" si="2"/>
        <v>1367527466.4748852</v>
      </c>
      <c r="H16" s="279">
        <v>405071611.60313827</v>
      </c>
      <c r="I16" s="279">
        <v>192047824.57591051</v>
      </c>
      <c r="J16" s="279">
        <v>682785512.34885848</v>
      </c>
      <c r="K16" s="279">
        <v>77115460.578236669</v>
      </c>
      <c r="L16" s="279"/>
      <c r="M16" s="279">
        <f>7356113.36874121+378000</f>
        <v>7734113.3687412096</v>
      </c>
      <c r="N16" s="279">
        <v>2772944</v>
      </c>
    </row>
    <row r="17" spans="1:15">
      <c r="A17">
        <f>'Purchased Power Model'!A268</f>
        <v>2008</v>
      </c>
      <c r="B17" s="6">
        <f>'Purchased Power Model'!G268</f>
        <v>1421429683</v>
      </c>
      <c r="C17" s="6">
        <f>'Purchased Power Model'!N268</f>
        <v>1399504550.6013935</v>
      </c>
      <c r="D17" s="34">
        <f t="shared" si="0"/>
        <v>-21925132.398606539</v>
      </c>
      <c r="E17" s="5">
        <f t="shared" si="1"/>
        <v>-1.5424704198052502E-2</v>
      </c>
      <c r="F17" s="22">
        <f>1 +(B17-G17)/G17</f>
        <v>1.0370724843394783</v>
      </c>
      <c r="G17" s="25">
        <f t="shared" si="2"/>
        <v>1370617487.6535487</v>
      </c>
      <c r="H17" s="279">
        <v>405533476.47927278</v>
      </c>
      <c r="I17" s="279">
        <v>185031934.17948633</v>
      </c>
      <c r="J17" s="279">
        <v>693615296.4854753</v>
      </c>
      <c r="K17" s="279">
        <v>76733607.732911587</v>
      </c>
      <c r="L17" s="279"/>
      <c r="M17" s="279">
        <f>7547792.7764028+378000</f>
        <v>7925792.7764028003</v>
      </c>
      <c r="N17" s="279">
        <v>1777380</v>
      </c>
    </row>
    <row r="18" spans="1:15">
      <c r="A18">
        <f>'Purchased Power Model'!A269</f>
        <v>2009</v>
      </c>
      <c r="B18" s="6">
        <f>'Purchased Power Model'!G269</f>
        <v>1411764680.4000001</v>
      </c>
      <c r="C18" s="6">
        <f>'Purchased Power Model'!N269</f>
        <v>1369103037.8964186</v>
      </c>
      <c r="D18" s="34">
        <f t="shared" si="0"/>
        <v>-42661642.503581524</v>
      </c>
      <c r="E18" s="5">
        <f t="shared" si="1"/>
        <v>-3.0218663985483795E-2</v>
      </c>
      <c r="F18" s="22">
        <f t="shared" si="3"/>
        <v>1.0377550255523305</v>
      </c>
      <c r="G18" s="25">
        <f t="shared" si="2"/>
        <v>1360402643.8210773</v>
      </c>
      <c r="H18" s="279">
        <v>397106489.36571515</v>
      </c>
      <c r="I18" s="279">
        <v>179794279.15883675</v>
      </c>
      <c r="J18" s="279">
        <v>697125703.11720777</v>
      </c>
      <c r="K18" s="279">
        <v>76507951.361122951</v>
      </c>
      <c r="L18" s="279"/>
      <c r="M18" s="279">
        <f>7543733.81819498+378000</f>
        <v>7921733.8181949798</v>
      </c>
      <c r="N18" s="279">
        <v>1946487</v>
      </c>
    </row>
    <row r="19" spans="1:15">
      <c r="A19">
        <f>'Purchased Power Model'!A270</f>
        <v>2010</v>
      </c>
      <c r="B19" s="6">
        <f>'Purchased Power Model'!G270</f>
        <v>1479129865.4622219</v>
      </c>
      <c r="C19" s="6">
        <f>'Purchased Power Model'!N270</f>
        <v>1421723729.3002489</v>
      </c>
      <c r="D19" s="34">
        <f t="shared" si="0"/>
        <v>-57406136.161973</v>
      </c>
      <c r="E19" s="5">
        <f t="shared" si="1"/>
        <v>-3.8810747793287116E-2</v>
      </c>
      <c r="F19" s="22">
        <f t="shared" si="3"/>
        <v>1.037538637329158</v>
      </c>
      <c r="G19" s="25">
        <f t="shared" si="2"/>
        <v>1425614249.190577</v>
      </c>
      <c r="H19" s="279">
        <v>413251128.70022863</v>
      </c>
      <c r="I19" s="279">
        <v>185040277.853742</v>
      </c>
      <c r="J19" s="279">
        <v>734775050.79018271</v>
      </c>
      <c r="K19" s="279">
        <v>82593009.154977307</v>
      </c>
      <c r="L19" s="279"/>
      <c r="M19" s="279">
        <f>7576314.82508462+378000</f>
        <v>7954314.8250846202</v>
      </c>
      <c r="N19" s="279">
        <v>2000467.8663616404</v>
      </c>
    </row>
    <row r="20" spans="1:15">
      <c r="A20">
        <f>'Purchased Power Model'!A271</f>
        <v>2011</v>
      </c>
      <c r="B20" s="6">
        <f>'Purchased Power Model'!G271</f>
        <v>1488841980.79</v>
      </c>
      <c r="C20" s="25">
        <f>'Purchased Power Model'!N271</f>
        <v>1492547995.4658337</v>
      </c>
      <c r="D20" s="34">
        <f t="shared" si="0"/>
        <v>3706014.6758337021</v>
      </c>
      <c r="E20" s="5">
        <f t="shared" si="1"/>
        <v>2.4891927576271324E-3</v>
      </c>
      <c r="F20" s="22">
        <f t="shared" si="3"/>
        <v>1.035913477033221</v>
      </c>
      <c r="G20" s="25">
        <f>SUM(H20:O20)</f>
        <v>1437226190.9883945</v>
      </c>
      <c r="H20" s="186">
        <v>408768579.48301852</v>
      </c>
      <c r="I20" s="186">
        <v>187070265.18729451</v>
      </c>
      <c r="J20" s="186">
        <v>725123828.05401099</v>
      </c>
      <c r="K20" s="186">
        <v>84249636.77408801</v>
      </c>
      <c r="L20" s="186"/>
      <c r="M20" s="186">
        <f>7561684.2810266+378000</f>
        <v>7939684.2810265999</v>
      </c>
      <c r="N20" s="186">
        <v>2043853.1914563591</v>
      </c>
      <c r="O20" s="66">
        <v>22030344.017499771</v>
      </c>
    </row>
    <row r="21" spans="1:15">
      <c r="A21">
        <f>'Purchased Power Model'!A272</f>
        <v>2012</v>
      </c>
      <c r="B21" s="6">
        <f>'Purchased Power Model'!G272</f>
        <v>1495459949.0999999</v>
      </c>
      <c r="C21" s="25">
        <f>'Purchased Power Model'!N272</f>
        <v>1496338276.8932972</v>
      </c>
      <c r="D21" s="34">
        <f t="shared" si="0"/>
        <v>878327.7932972908</v>
      </c>
      <c r="E21" s="5">
        <f t="shared" si="1"/>
        <v>5.8732953284766165E-4</v>
      </c>
      <c r="F21" s="22">
        <f t="shared" si="3"/>
        <v>1.0317762447028038</v>
      </c>
      <c r="G21" s="25">
        <f>SUM(H21:O21)</f>
        <v>1449403353.4671628</v>
      </c>
      <c r="H21" s="186">
        <v>409922519.07816052</v>
      </c>
      <c r="I21" s="186">
        <v>190189481.93352211</v>
      </c>
      <c r="J21" s="186">
        <v>716491036.71370065</v>
      </c>
      <c r="K21" s="186">
        <v>86740766.777832463</v>
      </c>
      <c r="L21" s="186">
        <v>3552539.1999999997</v>
      </c>
      <c r="M21" s="186">
        <f>7795988.91182814+378000</f>
        <v>8173988.9118281398</v>
      </c>
      <c r="N21" s="186">
        <v>2250008.2896429896</v>
      </c>
      <c r="O21" s="66">
        <v>32083012.562475972</v>
      </c>
    </row>
    <row r="22" spans="1:15">
      <c r="A22">
        <f>'Purchased Power Model'!A273</f>
        <v>2013</v>
      </c>
      <c r="B22" s="6">
        <f>'Purchased Power Model'!G273</f>
        <v>1493043816.6187882</v>
      </c>
      <c r="C22" s="25">
        <f>'Purchased Power Model'!N273</f>
        <v>1525289731.1147909</v>
      </c>
      <c r="D22" s="34">
        <f t="shared" si="0"/>
        <v>32245914.496002674</v>
      </c>
      <c r="E22" s="5">
        <f t="shared" si="1"/>
        <v>2.1597433469185232E-2</v>
      </c>
      <c r="F22" s="22">
        <f t="shared" si="3"/>
        <v>1.0308416505966682</v>
      </c>
      <c r="G22" s="25">
        <f>SUM(H22:O22)</f>
        <v>1448373584.589437</v>
      </c>
      <c r="H22" s="186">
        <v>409442944.51723653</v>
      </c>
      <c r="I22" s="186">
        <v>194737948.70414755</v>
      </c>
      <c r="J22" s="186">
        <v>705737127.583372</v>
      </c>
      <c r="K22" s="186">
        <v>90202678.814972758</v>
      </c>
      <c r="L22" s="186">
        <v>7094070.2614379087</v>
      </c>
      <c r="M22" s="186">
        <f>7696318.64358178+378000</f>
        <v>8074318.6435817797</v>
      </c>
      <c r="N22" s="186">
        <v>2352595.6525390111</v>
      </c>
      <c r="O22" s="66">
        <v>30731900.412149169</v>
      </c>
    </row>
    <row r="23" spans="1:15">
      <c r="A23" s="29">
        <f>'Purchased Power Model'!A274</f>
        <v>2014</v>
      </c>
      <c r="B23" s="6">
        <f>'Purchased Power Model'!G274</f>
        <v>1490761014.1592579</v>
      </c>
      <c r="C23" s="25">
        <f>'Purchased Power Model'!N274</f>
        <v>1546559961.5913262</v>
      </c>
      <c r="D23" s="34">
        <f t="shared" si="0"/>
        <v>55798947.432068348</v>
      </c>
      <c r="E23" s="5">
        <f t="shared" si="1"/>
        <v>3.7429840800832316E-2</v>
      </c>
      <c r="F23" s="22">
        <f t="shared" si="3"/>
        <v>1.0300673119594497</v>
      </c>
      <c r="G23" s="25">
        <f>SUM(H23:O23)</f>
        <v>1447246210.8553388</v>
      </c>
      <c r="H23" s="66">
        <v>410104641.97000003</v>
      </c>
      <c r="I23" s="66">
        <v>197096101.55000001</v>
      </c>
      <c r="J23" s="66">
        <v>699842687.66858912</v>
      </c>
      <c r="K23" s="66">
        <v>91205251.099502489</v>
      </c>
      <c r="L23" s="66">
        <v>7002713.4100000001</v>
      </c>
      <c r="M23" s="186">
        <v>7720856.5263360236</v>
      </c>
      <c r="N23" s="66">
        <v>2544974</v>
      </c>
      <c r="O23" s="66">
        <v>31728984.630911194</v>
      </c>
    </row>
    <row r="24" spans="1:15">
      <c r="A24">
        <f>'Purchased Power Model'!A275</f>
        <v>2015</v>
      </c>
      <c r="B24" s="6">
        <f>'Purchased Power Model'!G275</f>
        <v>0</v>
      </c>
      <c r="C24" s="25">
        <f>'Purchased Power Model'!N275</f>
        <v>1513105367.7049274</v>
      </c>
      <c r="G24" s="25">
        <f>C24/F27</f>
        <v>1459865676.0907559</v>
      </c>
      <c r="H24" s="25"/>
      <c r="I24" s="25"/>
      <c r="J24" s="25"/>
      <c r="K24" s="25"/>
      <c r="L24" s="25"/>
      <c r="M24" s="25"/>
      <c r="N24" s="25"/>
      <c r="O24" s="25"/>
    </row>
    <row r="25" spans="1:15">
      <c r="A25">
        <f>'Purchased Power Model'!A276</f>
        <v>2016</v>
      </c>
      <c r="B25" s="6">
        <f>'Purchased Power Model'!G276</f>
        <v>0</v>
      </c>
      <c r="C25" s="25">
        <f>'Purchased Power Model'!N276</f>
        <v>1513105367.7049274</v>
      </c>
      <c r="G25" s="25">
        <f>C25/F27</f>
        <v>1459865676.0907559</v>
      </c>
      <c r="H25" s="25"/>
      <c r="I25" s="25"/>
      <c r="J25" s="25"/>
      <c r="K25" s="25"/>
      <c r="L25" s="25"/>
      <c r="M25" s="25"/>
      <c r="N25" s="25"/>
      <c r="O25" s="25"/>
    </row>
    <row r="26" spans="1:15">
      <c r="G26" s="25"/>
      <c r="H26" s="52"/>
      <c r="I26" s="52"/>
      <c r="J26" s="52"/>
      <c r="K26" s="52"/>
      <c r="L26" s="52"/>
      <c r="M26" s="52"/>
      <c r="N26" s="52"/>
    </row>
    <row r="27" spans="1:15">
      <c r="A27" s="17" t="s">
        <v>14</v>
      </c>
      <c r="C27" s="54"/>
      <c r="D27" s="63"/>
      <c r="F27" s="73">
        <f>AVERAGE(F12:F23)</f>
        <v>1.0364688974376994</v>
      </c>
    </row>
    <row r="28" spans="1:15">
      <c r="A28" s="270"/>
      <c r="C28" s="54"/>
      <c r="D28" s="63"/>
    </row>
    <row r="29" spans="1:15">
      <c r="A29" s="29"/>
      <c r="C29" s="54"/>
      <c r="F29" s="22"/>
    </row>
    <row r="30" spans="1:15">
      <c r="A30" s="19" t="s">
        <v>16</v>
      </c>
      <c r="B30" s="12"/>
    </row>
    <row r="33" spans="1:18">
      <c r="A33">
        <f t="shared" ref="A33:A47" si="4">A11</f>
        <v>2002</v>
      </c>
      <c r="H33" s="25" t="e">
        <f>H11/'Rate Class Customer Model'!B4</f>
        <v>#DIV/0!</v>
      </c>
      <c r="I33" s="25" t="e">
        <f>I11/'Rate Class Customer Model'!C4</f>
        <v>#DIV/0!</v>
      </c>
      <c r="J33" s="25" t="e">
        <f>J11/'Rate Class Customer Model'!D4</f>
        <v>#DIV/0!</v>
      </c>
      <c r="K33" s="25" t="e">
        <f>K11/'Rate Class Customer Model'!E4</f>
        <v>#DIV/0!</v>
      </c>
      <c r="L33" s="25"/>
      <c r="M33" s="25"/>
      <c r="N33" s="25"/>
    </row>
    <row r="34" spans="1:18">
      <c r="A34">
        <f t="shared" si="4"/>
        <v>2003</v>
      </c>
      <c r="H34" s="25">
        <f>H12/'Rate Class Customer Model'!B5</f>
        <v>9714.9988573631344</v>
      </c>
      <c r="I34" s="25">
        <f>I12/'Rate Class Customer Model'!C5</f>
        <v>35987.800043076182</v>
      </c>
      <c r="J34" s="25">
        <f>J12/'Rate Class Customer Model'!D5</f>
        <v>899588.86272457661</v>
      </c>
      <c r="K34" s="25">
        <f>K12/'Rate Class Customer Model'!E5</f>
        <v>65433585.883026376</v>
      </c>
      <c r="L34" s="25"/>
      <c r="M34" s="25"/>
      <c r="N34" s="25"/>
    </row>
    <row r="35" spans="1:18">
      <c r="A35">
        <f t="shared" si="4"/>
        <v>2004</v>
      </c>
      <c r="H35" s="25">
        <f>H13/'Rate Class Customer Model'!B6</f>
        <v>9501.0226515786544</v>
      </c>
      <c r="I35" s="25">
        <f>I13/'Rate Class Customer Model'!C6</f>
        <v>36323.678806527598</v>
      </c>
      <c r="J35" s="25">
        <f>J13/'Rate Class Customer Model'!D6</f>
        <v>960574.1295790117</v>
      </c>
      <c r="K35" s="25">
        <f>K13/'Rate Class Customer Model'!E6</f>
        <v>66067057.488522306</v>
      </c>
      <c r="L35" s="25"/>
      <c r="M35" s="25">
        <f>M13/'Rate Class Customer Model'!G6</f>
        <v>565.33709817102886</v>
      </c>
      <c r="N35" s="25"/>
    </row>
    <row r="36" spans="1:18">
      <c r="A36">
        <f t="shared" si="4"/>
        <v>2005</v>
      </c>
      <c r="H36" s="25">
        <f>H14/'Rate Class Customer Model'!B7</f>
        <v>9769.4190762253365</v>
      </c>
      <c r="I36" s="25">
        <f>I14/'Rate Class Customer Model'!C7</f>
        <v>37019.804755334357</v>
      </c>
      <c r="J36" s="25">
        <f>J14/'Rate Class Customer Model'!D7</f>
        <v>1008374.3922204437</v>
      </c>
      <c r="K36" s="25">
        <f>K14/'Rate Class Customer Model'!E7</f>
        <v>70553959.956197128</v>
      </c>
      <c r="L36" s="25"/>
      <c r="M36" s="25">
        <f>M14/'Rate Class Customer Model'!G7</f>
        <v>595.50448708026204</v>
      </c>
      <c r="N36" s="25"/>
    </row>
    <row r="37" spans="1:18">
      <c r="A37">
        <f t="shared" si="4"/>
        <v>2006</v>
      </c>
      <c r="H37" s="25">
        <f>H15/'Rate Class Customer Model'!B8</f>
        <v>9186.0876540100471</v>
      </c>
      <c r="I37" s="25">
        <f>I15/'Rate Class Customer Model'!C8</f>
        <v>36976.818416947011</v>
      </c>
      <c r="J37" s="25">
        <f>J15/'Rate Class Customer Model'!D8</f>
        <v>1062473.9144069243</v>
      </c>
      <c r="K37" s="25">
        <f>K15/'Rate Class Customer Model'!E8</f>
        <v>73668917.559980094</v>
      </c>
      <c r="L37" s="25"/>
      <c r="M37" s="25">
        <f>M15/'Rate Class Customer Model'!G8</f>
        <v>585.38212256494285</v>
      </c>
      <c r="N37" s="25"/>
    </row>
    <row r="38" spans="1:18">
      <c r="A38">
        <f t="shared" si="4"/>
        <v>2007</v>
      </c>
      <c r="H38" s="25">
        <f>H16/'Rate Class Customer Model'!B9</f>
        <v>9337.4275117996913</v>
      </c>
      <c r="I38" s="25">
        <f>I16/'Rate Class Customer Model'!C9</f>
        <v>37283.600189460398</v>
      </c>
      <c r="J38" s="25">
        <f>J16/'Rate Class Customer Model'!D9</f>
        <v>1088972.1090093437</v>
      </c>
      <c r="K38" s="25">
        <f>K16/'Rate Class Customer Model'!E9</f>
        <v>77115460.578236669</v>
      </c>
      <c r="L38" s="25"/>
      <c r="M38" s="25">
        <f>M16/'Rate Class Customer Model'!G9</f>
        <v>579.00904875472281</v>
      </c>
      <c r="N38" s="25"/>
    </row>
    <row r="39" spans="1:18">
      <c r="A39">
        <f t="shared" si="4"/>
        <v>2008</v>
      </c>
      <c r="F39" s="22"/>
      <c r="H39" s="25">
        <f>H17/'Rate Class Customer Model'!B10</f>
        <v>9180.8853328339046</v>
      </c>
      <c r="I39" s="25">
        <f>I17/'Rate Class Customer Model'!C10</f>
        <v>35696.331470914694</v>
      </c>
      <c r="J39" s="25">
        <f>J17/'Rate Class Customer Model'!D10</f>
        <v>1072048.3716931613</v>
      </c>
      <c r="K39" s="25">
        <f>K17/'Rate Class Customer Model'!E10</f>
        <v>76733607.732911587</v>
      </c>
      <c r="L39" s="25"/>
      <c r="M39" s="25">
        <f>M17/'Rate Class Customer Model'!G10</f>
        <v>588.90610219584653</v>
      </c>
      <c r="N39" s="25">
        <f>N17/'Rate Class Customer Model'!H10</f>
        <v>3331.5463917525772</v>
      </c>
    </row>
    <row r="40" spans="1:18">
      <c r="A40">
        <f t="shared" si="4"/>
        <v>2009</v>
      </c>
      <c r="F40" s="22"/>
      <c r="H40" s="25">
        <f>H18/'Rate Class Customer Model'!B11</f>
        <v>8853.51011896005</v>
      </c>
      <c r="I40" s="25">
        <f>I18/'Rate Class Customer Model'!C11</f>
        <v>34230.229254419181</v>
      </c>
      <c r="J40" s="25">
        <f>J18/'Rate Class Customer Model'!D11</f>
        <v>1052265.2122523892</v>
      </c>
      <c r="K40" s="25">
        <f>K18/'Rate Class Customer Model'!E11</f>
        <v>76507951.361122951</v>
      </c>
      <c r="L40" s="25"/>
      <c r="M40" s="25">
        <f>M18/'Rate Class Customer Model'!G11</f>
        <v>584.71610704125919</v>
      </c>
      <c r="N40" s="25">
        <f>N18/'Rate Class Customer Model'!H11</f>
        <v>3645.1067415730336</v>
      </c>
    </row>
    <row r="41" spans="1:18">
      <c r="A41">
        <f t="shared" si="4"/>
        <v>2010</v>
      </c>
      <c r="F41" s="22"/>
      <c r="H41" s="25">
        <f>H19/'Rate Class Customer Model'!B12</f>
        <v>9084.8383903497324</v>
      </c>
      <c r="I41" s="25">
        <f>I19/'Rate Class Customer Model'!C12</f>
        <v>34635.522293634443</v>
      </c>
      <c r="J41" s="25">
        <f>J19/'Rate Class Customer Model'!D12</f>
        <v>1108257.9951586467</v>
      </c>
      <c r="K41" s="25">
        <f>K19/'Rate Class Customer Model'!E12</f>
        <v>82593009.154977307</v>
      </c>
      <c r="L41" s="25"/>
      <c r="M41" s="25">
        <f>M19/'Rate Class Customer Model'!G12</f>
        <v>583.22504858192769</v>
      </c>
      <c r="N41" s="25">
        <f>N19/'Rate Class Customer Model'!H12</f>
        <v>3728.7378683348375</v>
      </c>
    </row>
    <row r="42" spans="1:18">
      <c r="A42">
        <f t="shared" si="4"/>
        <v>2011</v>
      </c>
      <c r="F42" s="22"/>
      <c r="H42" s="25">
        <f>H20/'Rate Class Customer Model'!B13</f>
        <v>8848.9539655154022</v>
      </c>
      <c r="I42" s="25">
        <f>I20/'Rate Class Customer Model'!C13</f>
        <v>34633.02141762372</v>
      </c>
      <c r="J42" s="25">
        <f>J20/'Rate Class Customer Model'!D13</f>
        <v>1088774.5165976142</v>
      </c>
      <c r="K42" s="25">
        <f>K20/'Rate Class Customer Model'!E13</f>
        <v>84249636.77408801</v>
      </c>
      <c r="L42" s="25"/>
      <c r="M42" s="25">
        <f>M20/'Rate Class Customer Model'!G13</f>
        <v>580.49236198330107</v>
      </c>
      <c r="N42" s="25">
        <f>N20/'Rate Class Customer Model'!H13</f>
        <v>4095.8981792712607</v>
      </c>
      <c r="O42" s="25">
        <f>O20/'Rate Class Customer Model'!I13</f>
        <v>22030344.017499771</v>
      </c>
    </row>
    <row r="43" spans="1:18">
      <c r="A43">
        <f t="shared" si="4"/>
        <v>2012</v>
      </c>
      <c r="F43" s="22"/>
      <c r="H43" s="25">
        <f>H21/'Rate Class Customer Model'!B14</f>
        <v>8744.733908849008</v>
      </c>
      <c r="I43" s="25">
        <f>I21/'Rate Class Customer Model'!C14</f>
        <v>34874.756016048792</v>
      </c>
      <c r="J43" s="25">
        <f>J21/'Rate Class Customer Model'!D14</f>
        <v>1072591.3723258991</v>
      </c>
      <c r="K43" s="25">
        <f>K21/'Rate Class Customer Model'!E14</f>
        <v>86740766.777832463</v>
      </c>
      <c r="L43" s="25">
        <f>L21/'Rate Class Customer Model'!F14</f>
        <v>1776269.5999999999</v>
      </c>
      <c r="M43" s="25">
        <f>M21/'Rate Class Customer Model'!G14</f>
        <v>595.09948031219392</v>
      </c>
      <c r="N43" s="25">
        <f>N21/'Rate Class Customer Model'!H14</f>
        <v>4772.0218232088855</v>
      </c>
      <c r="O43" s="25">
        <f>O21/'Rate Class Customer Model'!I14</f>
        <v>32083012.562475972</v>
      </c>
      <c r="R43" s="23"/>
    </row>
    <row r="44" spans="1:18">
      <c r="A44">
        <f t="shared" si="4"/>
        <v>2013</v>
      </c>
      <c r="F44" s="22"/>
      <c r="H44" s="25">
        <f>H22/'Rate Class Customer Model'!B15</f>
        <v>8601.381129306259</v>
      </c>
      <c r="I44" s="25">
        <f>I22/'Rate Class Customer Model'!C15</f>
        <v>35387.597438514909</v>
      </c>
      <c r="J44" s="25">
        <f>J22/'Rate Class Customer Model'!D15</f>
        <v>1053338.9963930924</v>
      </c>
      <c r="K44" s="25">
        <f>K22/'Rate Class Customer Model'!E15</f>
        <v>90202678.814972758</v>
      </c>
      <c r="L44" s="25">
        <f>L22/'Rate Class Customer Model'!F15</f>
        <v>3547035.1307189544</v>
      </c>
      <c r="M44" s="25">
        <f>M22/'Rate Class Customer Model'!G15</f>
        <v>583.38345027865898</v>
      </c>
      <c r="N44" s="25">
        <f>N22/'Rate Class Customer Model'!H15</f>
        <v>4743.1363962480063</v>
      </c>
      <c r="O44" s="25">
        <f>O22/'Rate Class Customer Model'!I15</f>
        <v>30731900.412149169</v>
      </c>
      <c r="R44" s="23"/>
    </row>
    <row r="45" spans="1:18">
      <c r="A45">
        <f t="shared" si="4"/>
        <v>2014</v>
      </c>
      <c r="F45" s="22"/>
      <c r="H45" s="25">
        <f>H23/'Rate Class Customer Model'!B16</f>
        <v>8510.0723580373724</v>
      </c>
      <c r="I45" s="25">
        <f>I23/'Rate Class Customer Model'!C16</f>
        <v>35535.22068872262</v>
      </c>
      <c r="J45" s="25">
        <f>J23/'Rate Class Customer Model'!D16</f>
        <v>1024659.8648149181</v>
      </c>
      <c r="K45" s="25">
        <f>K23/'Rate Class Customer Model'!E16</f>
        <v>91205251.099502489</v>
      </c>
      <c r="L45" s="25">
        <f>L23/'Rate Class Customer Model'!F16</f>
        <v>3501356.7050000001</v>
      </c>
      <c r="M45" s="25">
        <f>M23/'Rate Class Customer Model'!G16</f>
        <v>557.36195822674779</v>
      </c>
      <c r="N45" s="25">
        <f>N23/'Rate Class Customer Model'!H16</f>
        <v>4903.6107899807321</v>
      </c>
      <c r="O45" s="25">
        <f>O23/'Rate Class Customer Model'!I16</f>
        <v>31728984.630911194</v>
      </c>
      <c r="R45" s="23"/>
    </row>
    <row r="46" spans="1:18">
      <c r="A46">
        <f t="shared" si="4"/>
        <v>2015</v>
      </c>
      <c r="H46" s="25">
        <f>H45*H64</f>
        <v>8408.2403258894446</v>
      </c>
      <c r="I46" s="25">
        <f t="shared" ref="I46:O46" si="5">I45*I64</f>
        <v>35494.360421068915</v>
      </c>
      <c r="J46" s="25">
        <f t="shared" si="5"/>
        <v>1036858.1139129973</v>
      </c>
      <c r="K46" s="25">
        <f t="shared" si="5"/>
        <v>94000610.164459154</v>
      </c>
      <c r="L46" s="25">
        <f t="shared" si="5"/>
        <v>3456266.5222781594</v>
      </c>
      <c r="M46" s="25">
        <f t="shared" si="5"/>
        <v>553.27765747415049</v>
      </c>
      <c r="N46" s="25">
        <f t="shared" si="5"/>
        <v>5229.9115797756231</v>
      </c>
      <c r="O46" s="25">
        <f t="shared" si="5"/>
        <v>31553438.348883525</v>
      </c>
    </row>
    <row r="47" spans="1:18">
      <c r="A47">
        <f t="shared" si="4"/>
        <v>2016</v>
      </c>
      <c r="H47" s="25">
        <f>H46*H64</f>
        <v>8307.6268218967543</v>
      </c>
      <c r="I47" s="25">
        <f t="shared" ref="I47:O47" si="6">I46*I64</f>
        <v>35453.547136702226</v>
      </c>
      <c r="J47" s="25">
        <f t="shared" si="6"/>
        <v>1049201.579278609</v>
      </c>
      <c r="K47" s="25">
        <f t="shared" si="6"/>
        <v>96881644.47517015</v>
      </c>
      <c r="L47" s="25">
        <f t="shared" si="6"/>
        <v>3411757.0072086565</v>
      </c>
      <c r="M47" s="25">
        <f t="shared" si="6"/>
        <v>549.22328612809315</v>
      </c>
      <c r="N47" s="25">
        <f t="shared" si="6"/>
        <v>5577.925390848287</v>
      </c>
      <c r="O47" s="25">
        <f t="shared" si="6"/>
        <v>31378863.308056679</v>
      </c>
    </row>
    <row r="49" spans="1:17">
      <c r="A49" s="35"/>
      <c r="D49" s="6"/>
      <c r="H49" s="23"/>
      <c r="I49" s="23"/>
      <c r="J49" s="23"/>
      <c r="K49" s="23"/>
      <c r="L49" s="23"/>
    </row>
    <row r="50" spans="1:17">
      <c r="A50" s="35">
        <f>A33</f>
        <v>2002</v>
      </c>
      <c r="D50" s="6"/>
      <c r="H50" s="23"/>
      <c r="I50" s="23"/>
      <c r="J50" s="23"/>
      <c r="K50" s="23"/>
      <c r="L50" s="23"/>
      <c r="M50" s="23"/>
      <c r="N50" s="23"/>
    </row>
    <row r="51" spans="1:17">
      <c r="A51" s="35">
        <f t="shared" ref="A51:A62" si="7">A34</f>
        <v>2003</v>
      </c>
      <c r="D51" s="6"/>
      <c r="H51" s="23"/>
      <c r="I51" s="23"/>
      <c r="J51" s="23"/>
      <c r="K51" s="23"/>
      <c r="L51" s="23"/>
      <c r="M51" s="23"/>
      <c r="N51" s="23"/>
    </row>
    <row r="52" spans="1:17">
      <c r="A52" s="35">
        <f t="shared" si="7"/>
        <v>2004</v>
      </c>
      <c r="D52" s="6"/>
      <c r="H52" s="23">
        <f t="shared" ref="H52:K58" si="8">H35/H34</f>
        <v>0.97797465455980936</v>
      </c>
      <c r="I52" s="23">
        <f t="shared" si="8"/>
        <v>1.0093331285338192</v>
      </c>
      <c r="J52" s="23">
        <f t="shared" si="8"/>
        <v>1.0677923764748816</v>
      </c>
      <c r="K52" s="23">
        <f t="shared" si="8"/>
        <v>1.0096811384695983</v>
      </c>
      <c r="L52" s="23"/>
      <c r="M52" s="23"/>
      <c r="N52" s="23"/>
    </row>
    <row r="53" spans="1:17">
      <c r="A53" s="35">
        <f t="shared" si="7"/>
        <v>2005</v>
      </c>
      <c r="D53" s="6"/>
      <c r="H53" s="23">
        <f t="shared" si="8"/>
        <v>1.0282492142676964</v>
      </c>
      <c r="I53" s="23">
        <f t="shared" si="8"/>
        <v>1.0191645221981662</v>
      </c>
      <c r="J53" s="23">
        <f t="shared" si="8"/>
        <v>1.0497621798979546</v>
      </c>
      <c r="K53" s="23">
        <f t="shared" si="8"/>
        <v>1.0679143681925645</v>
      </c>
      <c r="L53" s="23"/>
      <c r="M53" s="23"/>
      <c r="N53" s="23"/>
    </row>
    <row r="54" spans="1:17">
      <c r="A54" s="35">
        <f t="shared" si="7"/>
        <v>2006</v>
      </c>
      <c r="D54" s="6"/>
      <c r="H54" s="23">
        <f t="shared" si="8"/>
        <v>0.94029006047709907</v>
      </c>
      <c r="I54" s="23">
        <f t="shared" si="8"/>
        <v>0.99883882860346118</v>
      </c>
      <c r="J54" s="23">
        <f t="shared" si="8"/>
        <v>1.0536502340835463</v>
      </c>
      <c r="K54" s="23">
        <f t="shared" si="8"/>
        <v>1.0441500038511922</v>
      </c>
      <c r="L54" s="23"/>
      <c r="M54" s="23">
        <f>M37/M36</f>
        <v>0.98300203485460069</v>
      </c>
      <c r="N54" s="23"/>
    </row>
    <row r="55" spans="1:17">
      <c r="A55" s="35">
        <f t="shared" si="7"/>
        <v>2007</v>
      </c>
      <c r="D55" s="6"/>
      <c r="H55" s="23">
        <f t="shared" si="8"/>
        <v>1.0164748980730201</v>
      </c>
      <c r="I55" s="23">
        <f t="shared" si="8"/>
        <v>1.0082965973181939</v>
      </c>
      <c r="J55" s="23">
        <f t="shared" si="8"/>
        <v>1.0249400895806564</v>
      </c>
      <c r="K55" s="23">
        <f t="shared" si="8"/>
        <v>1.0467842223343442</v>
      </c>
      <c r="L55" s="23"/>
      <c r="M55" s="23">
        <f>M38/M37</f>
        <v>0.98911296815438188</v>
      </c>
      <c r="N55" s="23"/>
    </row>
    <row r="56" spans="1:17">
      <c r="A56" s="35">
        <f t="shared" si="7"/>
        <v>2008</v>
      </c>
      <c r="D56" s="6"/>
      <c r="H56" s="23">
        <f t="shared" si="8"/>
        <v>0.98323497786001934</v>
      </c>
      <c r="I56" s="23">
        <f t="shared" si="8"/>
        <v>0.95742716072268141</v>
      </c>
      <c r="J56" s="23">
        <f t="shared" si="8"/>
        <v>0.98445898000860821</v>
      </c>
      <c r="K56" s="23">
        <f t="shared" si="8"/>
        <v>0.99504829715777066</v>
      </c>
      <c r="L56" s="23"/>
      <c r="M56" s="23">
        <f>M39/M38</f>
        <v>1.0170930894126946</v>
      </c>
      <c r="N56" s="23"/>
    </row>
    <row r="57" spans="1:17">
      <c r="A57" s="35">
        <f t="shared" si="7"/>
        <v>2009</v>
      </c>
      <c r="D57" s="6"/>
      <c r="H57" s="23">
        <f t="shared" si="8"/>
        <v>0.96434165094045432</v>
      </c>
      <c r="I57" s="23">
        <f t="shared" si="8"/>
        <v>0.95892849051757345</v>
      </c>
      <c r="J57" s="23">
        <f t="shared" si="8"/>
        <v>0.98154639290247025</v>
      </c>
      <c r="K57" s="23">
        <f t="shared" si="8"/>
        <v>0.99705922374229972</v>
      </c>
      <c r="L57" s="23"/>
      <c r="M57" s="23">
        <f>M40/M39</f>
        <v>0.99288512185734845</v>
      </c>
      <c r="N57" s="23">
        <f>N40/N39</f>
        <v>1.09411856025679</v>
      </c>
    </row>
    <row r="58" spans="1:17">
      <c r="A58" s="35">
        <f t="shared" si="7"/>
        <v>2010</v>
      </c>
      <c r="D58" s="6"/>
      <c r="H58" s="23">
        <f t="shared" si="8"/>
        <v>1.0261284245775342</v>
      </c>
      <c r="I58" s="23">
        <f t="shared" si="8"/>
        <v>1.0118402081447626</v>
      </c>
      <c r="J58" s="23">
        <f t="shared" si="8"/>
        <v>1.0532116639933427</v>
      </c>
      <c r="K58" s="23">
        <f t="shared" si="8"/>
        <v>1.079534972321144</v>
      </c>
      <c r="L58" s="23"/>
      <c r="M58" s="23">
        <f>M41/M40</f>
        <v>0.99744994461179382</v>
      </c>
      <c r="N58" s="23">
        <f>N41/N40</f>
        <v>1.0229433958155401</v>
      </c>
    </row>
    <row r="59" spans="1:17">
      <c r="A59" s="35">
        <f t="shared" si="7"/>
        <v>2011</v>
      </c>
      <c r="D59" s="6"/>
      <c r="H59" s="23">
        <f t="shared" ref="H59:N59" si="9">H42/H41</f>
        <v>0.9740353746870285</v>
      </c>
      <c r="I59" s="23">
        <f t="shared" si="9"/>
        <v>0.9999277944767363</v>
      </c>
      <c r="J59" s="23">
        <f t="shared" si="9"/>
        <v>0.98241972659241361</v>
      </c>
      <c r="K59" s="23">
        <f t="shared" si="9"/>
        <v>1.0200577220282918</v>
      </c>
      <c r="L59" s="23"/>
      <c r="M59" s="23">
        <f t="shared" si="9"/>
        <v>0.99531452463286518</v>
      </c>
      <c r="N59" s="23">
        <f t="shared" si="9"/>
        <v>1.0984677185420888</v>
      </c>
    </row>
    <row r="60" spans="1:17">
      <c r="A60" s="35">
        <f t="shared" si="7"/>
        <v>2012</v>
      </c>
      <c r="D60" s="6"/>
      <c r="H60" s="23">
        <f t="shared" ref="H60:N60" si="10">H43/H42</f>
        <v>0.98822233033728701</v>
      </c>
      <c r="I60" s="23">
        <f t="shared" si="10"/>
        <v>1.0069798876485567</v>
      </c>
      <c r="J60" s="23">
        <f t="shared" si="10"/>
        <v>0.98513636751686029</v>
      </c>
      <c r="K60" s="23">
        <f t="shared" si="10"/>
        <v>1.0295684361277939</v>
      </c>
      <c r="L60" s="23"/>
      <c r="M60" s="74">
        <f t="shared" si="10"/>
        <v>1.0251633256275525</v>
      </c>
      <c r="N60" s="74">
        <f t="shared" si="10"/>
        <v>1.165073352496746</v>
      </c>
      <c r="O60" s="74">
        <f>O43/O42</f>
        <v>1.4563101028740577</v>
      </c>
      <c r="Q60" s="74"/>
    </row>
    <row r="61" spans="1:17">
      <c r="A61" s="35">
        <f t="shared" si="7"/>
        <v>2013</v>
      </c>
      <c r="D61" s="6"/>
      <c r="H61" s="23">
        <f>H44/H43</f>
        <v>0.9836069592240323</v>
      </c>
      <c r="I61" s="23">
        <f t="shared" ref="I61:O61" si="11">I44/I43</f>
        <v>1.0147052332704527</v>
      </c>
      <c r="J61" s="23">
        <f t="shared" si="11"/>
        <v>0.98205059594031774</v>
      </c>
      <c r="K61" s="23">
        <f t="shared" si="11"/>
        <v>1.0399110149211297</v>
      </c>
      <c r="L61" s="23">
        <f>L44/L43</f>
        <v>1.9969013322746472</v>
      </c>
      <c r="M61" s="23">
        <f t="shared" si="11"/>
        <v>0.98031248485145939</v>
      </c>
      <c r="N61" s="23">
        <f t="shared" si="11"/>
        <v>0.99394692060702783</v>
      </c>
      <c r="O61" s="23">
        <f t="shared" si="11"/>
        <v>0.95788699244823872</v>
      </c>
      <c r="Q61" s="23"/>
    </row>
    <row r="62" spans="1:17">
      <c r="A62" s="35">
        <f t="shared" si="7"/>
        <v>2014</v>
      </c>
      <c r="D62" s="6"/>
      <c r="H62" s="23">
        <f>H45/H44</f>
        <v>0.98938440584178011</v>
      </c>
      <c r="I62" s="23">
        <f t="shared" ref="I62:O62" si="12">I45/I44</f>
        <v>1.0041716098546731</v>
      </c>
      <c r="J62" s="23">
        <f t="shared" si="12"/>
        <v>0.97277312273030891</v>
      </c>
      <c r="K62" s="23">
        <f t="shared" si="12"/>
        <v>1.0111146619779026</v>
      </c>
      <c r="L62" s="23">
        <f t="shared" si="12"/>
        <v>0.98712208251805622</v>
      </c>
      <c r="M62" s="23">
        <f t="shared" si="12"/>
        <v>0.95539556009091142</v>
      </c>
      <c r="N62" s="23">
        <f t="shared" si="12"/>
        <v>1.0338329704917757</v>
      </c>
      <c r="O62" s="23">
        <f t="shared" si="12"/>
        <v>1.03244460008623</v>
      </c>
      <c r="Q62" s="23"/>
    </row>
    <row r="63" spans="1:17">
      <c r="A63" s="3"/>
      <c r="D63" s="6"/>
      <c r="E63" s="6"/>
      <c r="F63" s="6"/>
    </row>
    <row r="64" spans="1:17">
      <c r="A64" t="s">
        <v>18</v>
      </c>
      <c r="D64" s="6"/>
      <c r="H64" s="23">
        <f>H66</f>
        <v>0.9880339405044245</v>
      </c>
      <c r="I64" s="23">
        <f t="shared" ref="I64:O64" si="13">I66</f>
        <v>0.99885014735066291</v>
      </c>
      <c r="J64" s="23">
        <f t="shared" si="13"/>
        <v>1.0119046812673613</v>
      </c>
      <c r="K64" s="23">
        <f t="shared" si="13"/>
        <v>1.0306491022310438</v>
      </c>
      <c r="L64" s="23">
        <f t="shared" si="13"/>
        <v>0.98712208251805622</v>
      </c>
      <c r="M64" s="23">
        <f t="shared" si="13"/>
        <v>0.99267208554098041</v>
      </c>
      <c r="N64" s="23">
        <f t="shared" si="13"/>
        <v>1.0665429626799914</v>
      </c>
      <c r="O64" s="23">
        <f t="shared" si="13"/>
        <v>0.99446732115541303</v>
      </c>
    </row>
    <row r="65" spans="1:19">
      <c r="A65" s="3"/>
      <c r="D65" s="6"/>
      <c r="H65" s="12"/>
      <c r="I65" s="12"/>
      <c r="K65" s="11"/>
      <c r="L65" s="11"/>
      <c r="M65" s="11"/>
      <c r="N65" s="11"/>
    </row>
    <row r="66" spans="1:19">
      <c r="A66" t="s">
        <v>15</v>
      </c>
      <c r="D66" s="6"/>
      <c r="H66" s="23">
        <f>GEOMEAN(H51:H62)</f>
        <v>0.9880339405044245</v>
      </c>
      <c r="I66" s="23">
        <f t="shared" ref="I66:N66" si="14">GEOMEAN(I51:I62)</f>
        <v>0.99885014735066291</v>
      </c>
      <c r="J66" s="23">
        <f t="shared" si="14"/>
        <v>1.0119046812673613</v>
      </c>
      <c r="K66" s="23">
        <f t="shared" si="14"/>
        <v>1.0306491022310438</v>
      </c>
      <c r="L66" s="280">
        <f>GEOMEAN(L62:L62)</f>
        <v>0.98712208251805622</v>
      </c>
      <c r="M66" s="23">
        <f t="shared" si="14"/>
        <v>0.99267208554098041</v>
      </c>
      <c r="N66" s="74">
        <f t="shared" si="14"/>
        <v>1.0665429626799914</v>
      </c>
      <c r="O66" s="280">
        <f>GEOMEAN(O61:O62)</f>
        <v>0.99446732115541303</v>
      </c>
    </row>
    <row r="67" spans="1:19">
      <c r="D67" s="6"/>
      <c r="H67" s="23"/>
      <c r="I67" s="23"/>
      <c r="J67" s="23"/>
      <c r="K67" s="23"/>
      <c r="L67" s="23"/>
      <c r="M67" s="23"/>
      <c r="N67" s="23"/>
    </row>
    <row r="68" spans="1:19">
      <c r="A68" s="17" t="s">
        <v>44</v>
      </c>
    </row>
    <row r="69" spans="1:19">
      <c r="A69" s="17">
        <v>2015</v>
      </c>
      <c r="G69" s="6">
        <f>SUM(H69:O69)</f>
        <v>1470647191.4811175</v>
      </c>
      <c r="H69" s="6">
        <f>H46*'Rate Class Customer Model'!B17</f>
        <v>409523345.07244539</v>
      </c>
      <c r="I69" s="6">
        <f>I46*'Rate Class Customer Model'!C17</f>
        <v>198608693.73609111</v>
      </c>
      <c r="J69" s="6">
        <f>J46*'Rate Class Customer Model'!D17</f>
        <v>719579531.05562007</v>
      </c>
      <c r="K69" s="6">
        <f>K46*'Rate Class Customer Model'!E17</f>
        <v>94000610.164459154</v>
      </c>
      <c r="L69" s="6">
        <f>L46*'Rate Class Customer Model'!F17</f>
        <v>6912533.0445563188</v>
      </c>
      <c r="M69" s="6">
        <f>M46*'Rate Class Customer Model'!G17</f>
        <v>7639657.8944030702</v>
      </c>
      <c r="N69" s="6">
        <f>N46*'Rate Class Customer Model'!H17</f>
        <v>2829382.1646586121</v>
      </c>
      <c r="O69" s="25">
        <f>O46*'Rate Class Customer Model'!I17</f>
        <v>31553438.348883525</v>
      </c>
    </row>
    <row r="70" spans="1:19">
      <c r="A70" s="17">
        <v>2016</v>
      </c>
      <c r="G70" s="6">
        <f>SUM(H70:O70)</f>
        <v>1482197665.7608733</v>
      </c>
      <c r="H70" s="6">
        <f>H47*'Rate Class Customer Model'!B18</f>
        <v>409607540.45361948</v>
      </c>
      <c r="I70" s="6">
        <f>I47*'Rate Class Customer Model'!C18</f>
        <v>199674377.47390693</v>
      </c>
      <c r="J70" s="6">
        <f>J47*'Rate Class Customer Model'!D18</f>
        <v>727096694.44007599</v>
      </c>
      <c r="K70" s="6">
        <f>K47*'Rate Class Customer Model'!E18</f>
        <v>96881644.47517015</v>
      </c>
      <c r="L70" s="6">
        <f>L47*'Rate Class Customer Model'!F18</f>
        <v>6823514.014417313</v>
      </c>
      <c r="M70" s="6">
        <f>M47*'Rate Class Customer Model'!G18</f>
        <v>7594659.600579272</v>
      </c>
      <c r="N70" s="6">
        <f>N47*'Rate Class Customer Model'!H18</f>
        <v>3140371.9950475856</v>
      </c>
      <c r="O70" s="6">
        <f>O47*'Rate Class Customer Model'!I18</f>
        <v>31378863.308056679</v>
      </c>
    </row>
    <row r="72" spans="1:19">
      <c r="A72" s="17" t="s">
        <v>43</v>
      </c>
      <c r="P72" s="6" t="s">
        <v>17</v>
      </c>
    </row>
    <row r="73" spans="1:19">
      <c r="A73" s="17">
        <v>2015</v>
      </c>
      <c r="G73" s="25">
        <f>G24</f>
        <v>1459865676.0907559</v>
      </c>
      <c r="H73" s="6">
        <f>H69+H81-H85</f>
        <v>404568389.63494986</v>
      </c>
      <c r="I73" s="6">
        <f t="shared" ref="I73:N73" si="15">I69+I81-I85</f>
        <v>194995025.18158332</v>
      </c>
      <c r="J73" s="6">
        <f t="shared" si="15"/>
        <v>711599630.24831927</v>
      </c>
      <c r="K73" s="6">
        <f t="shared" si="15"/>
        <v>93142619.573401704</v>
      </c>
      <c r="L73" s="6">
        <f t="shared" si="15"/>
        <v>6912533.0445563188</v>
      </c>
      <c r="M73" s="6">
        <f t="shared" si="15"/>
        <v>7639657.8944030702</v>
      </c>
      <c r="N73" s="6">
        <f t="shared" si="15"/>
        <v>2829382.1646586121</v>
      </c>
      <c r="O73" s="6">
        <f>O69+O81-O85+O89</f>
        <v>31553438.348883525</v>
      </c>
      <c r="P73" s="6">
        <f>SUM(H73:O73)</f>
        <v>1453240676.0907557</v>
      </c>
      <c r="Q73" s="6">
        <f>G73-P73</f>
        <v>6625000.0000002384</v>
      </c>
      <c r="R73" s="6">
        <f>O89</f>
        <v>0</v>
      </c>
      <c r="S73" s="6">
        <f>Q73+R73</f>
        <v>6625000.0000002384</v>
      </c>
    </row>
    <row r="74" spans="1:19">
      <c r="A74" s="17">
        <v>2016</v>
      </c>
      <c r="G74" s="25">
        <f>G25</f>
        <v>1459865676.0907559</v>
      </c>
      <c r="H74" s="6">
        <f>H70+H82-H86</f>
        <v>399341267.63941514</v>
      </c>
      <c r="I74" s="6">
        <f t="shared" ref="I74:N74" si="16">I70+I82-I86</f>
        <v>192108794.68761566</v>
      </c>
      <c r="J74" s="6">
        <f t="shared" si="16"/>
        <v>710364299.16911459</v>
      </c>
      <c r="K74" s="6">
        <f t="shared" si="16"/>
        <v>95063905.676509753</v>
      </c>
      <c r="L74" s="6">
        <f t="shared" si="16"/>
        <v>6823514.014417313</v>
      </c>
      <c r="M74" s="6">
        <f t="shared" si="16"/>
        <v>7594659.600579272</v>
      </c>
      <c r="N74" s="6">
        <f t="shared" si="16"/>
        <v>3140371.9950475856</v>
      </c>
      <c r="O74" s="6">
        <f>O70+O82-O86+O90</f>
        <v>31378863.308056679</v>
      </c>
      <c r="P74" s="6">
        <f>SUM(H74:O74)</f>
        <v>1445815676.0907559</v>
      </c>
      <c r="Q74" s="6">
        <f>G74-P74</f>
        <v>14050000</v>
      </c>
      <c r="R74" s="6">
        <f>O90</f>
        <v>0</v>
      </c>
      <c r="S74" s="6">
        <f>Q74+R74</f>
        <v>14050000</v>
      </c>
    </row>
    <row r="75" spans="1:19">
      <c r="G75" s="25"/>
    </row>
    <row r="76" spans="1:19">
      <c r="A76" t="s">
        <v>45</v>
      </c>
      <c r="G76" s="25"/>
      <c r="H76" s="281">
        <f>(100%+J76)/2</f>
        <v>0.74950000000000006</v>
      </c>
      <c r="I76" s="281">
        <f>H76</f>
        <v>0.74950000000000006</v>
      </c>
      <c r="J76" s="281">
        <v>0.499</v>
      </c>
      <c r="K76" s="281">
        <f>+I76</f>
        <v>0.74950000000000006</v>
      </c>
      <c r="L76" s="282">
        <v>0</v>
      </c>
      <c r="M76" s="282">
        <v>0</v>
      </c>
      <c r="N76" s="282">
        <v>0</v>
      </c>
      <c r="O76" s="283">
        <v>0</v>
      </c>
      <c r="P76" s="6" t="s">
        <v>17</v>
      </c>
    </row>
    <row r="77" spans="1:19">
      <c r="A77" s="17">
        <v>2015</v>
      </c>
      <c r="G77" s="6">
        <f>G73-G69</f>
        <v>-10781515.390361547</v>
      </c>
      <c r="H77" s="6">
        <f t="shared" ref="H77:O78" si="17">H69*H$76</f>
        <v>306937747.13179785</v>
      </c>
      <c r="I77" s="6">
        <f t="shared" si="17"/>
        <v>148857215.95520028</v>
      </c>
      <c r="J77" s="6">
        <f t="shared" si="17"/>
        <v>359070185.99675441</v>
      </c>
      <c r="K77" s="6">
        <f t="shared" si="17"/>
        <v>70453457.318262145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>SUM(H77:O77)</f>
        <v>885318606.40201461</v>
      </c>
    </row>
    <row r="78" spans="1:19">
      <c r="A78" s="17">
        <v>2016</v>
      </c>
      <c r="G78" s="6">
        <f>G74-G70</f>
        <v>-22331989.670117378</v>
      </c>
      <c r="H78" s="6">
        <f t="shared" si="17"/>
        <v>307000851.56998783</v>
      </c>
      <c r="I78" s="6">
        <f t="shared" si="17"/>
        <v>149655945.91669327</v>
      </c>
      <c r="J78" s="6">
        <f t="shared" si="17"/>
        <v>362821250.52559793</v>
      </c>
      <c r="K78" s="6">
        <f t="shared" si="17"/>
        <v>72612792.534140036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>SUM(H78:O78)</f>
        <v>892090840.54641902</v>
      </c>
    </row>
    <row r="79" spans="1:19" ht="12" customHeight="1"/>
    <row r="80" spans="1:19">
      <c r="A80" t="s">
        <v>46</v>
      </c>
    </row>
    <row r="81" spans="1:16">
      <c r="A81" s="17">
        <v>2015</v>
      </c>
      <c r="H81" s="6">
        <f t="shared" ref="H81:O81" si="18">H77/$P$77*$G$77</f>
        <v>-3737924.4270414435</v>
      </c>
      <c r="I81" s="6">
        <f t="shared" si="18"/>
        <v>-1812800.8980967831</v>
      </c>
      <c r="J81" s="6">
        <f t="shared" si="18"/>
        <v>-4372799.4741658708</v>
      </c>
      <c r="K81" s="6">
        <f t="shared" si="18"/>
        <v>-857990.59105745144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>SUM(H81:O81)</f>
        <v>-10781515.390361549</v>
      </c>
    </row>
    <row r="82" spans="1:16">
      <c r="A82" s="17">
        <v>2016</v>
      </c>
      <c r="G82" s="24"/>
      <c r="H82" s="6">
        <f t="shared" ref="H82:O82" si="19">H78/$P$78*$G$78</f>
        <v>-7685248.5580715537</v>
      </c>
      <c r="I82" s="6">
        <f t="shared" si="19"/>
        <v>-3746384.2092988458</v>
      </c>
      <c r="J82" s="6">
        <f t="shared" si="19"/>
        <v>-9082618.1040865835</v>
      </c>
      <c r="K82" s="6">
        <f t="shared" si="19"/>
        <v>-1817738.7986603968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>SUM(H82:O82)</f>
        <v>-22331989.670117378</v>
      </c>
    </row>
    <row r="83" spans="1:16">
      <c r="G83" s="24"/>
    </row>
    <row r="84" spans="1:16">
      <c r="A84" s="113" t="s">
        <v>92</v>
      </c>
      <c r="E84" s="21"/>
      <c r="F84" s="267"/>
      <c r="G84" s="25"/>
    </row>
    <row r="85" spans="1:16">
      <c r="A85" s="17">
        <v>2015</v>
      </c>
      <c r="G85" s="6">
        <f>'CDM Activity'!G15*0.5+'CDM Activity'!G18*0.5</f>
        <v>6625000</v>
      </c>
      <c r="H85" s="25">
        <f>$G$85*$B$101</f>
        <v>1217031.0104540812</v>
      </c>
      <c r="I85" s="25">
        <f>$G$85*$B$102</f>
        <v>1800867.6564110129</v>
      </c>
      <c r="J85" s="25">
        <f>$G$85*$B$103</f>
        <v>3607101.3331349054</v>
      </c>
      <c r="K85" s="6">
        <v>0</v>
      </c>
      <c r="L85" s="6">
        <v>0</v>
      </c>
      <c r="M85" s="6">
        <v>0</v>
      </c>
      <c r="N85" s="6">
        <v>0</v>
      </c>
      <c r="O85" s="25">
        <v>0</v>
      </c>
      <c r="P85" s="6">
        <f>SUM(H85:O85)</f>
        <v>6625000</v>
      </c>
    </row>
    <row r="86" spans="1:16">
      <c r="A86" s="17">
        <v>2016</v>
      </c>
      <c r="G86" s="6">
        <f>'CDM Activity'!H15*0.5+'CDM Activity'!H18+'CDM Activity'!H19*0.5</f>
        <v>14050000</v>
      </c>
      <c r="H86" s="25">
        <f>$G$86*$B$101</f>
        <v>2581024.2561328062</v>
      </c>
      <c r="I86" s="25">
        <f>$G$86*$B$102</f>
        <v>3819198.5769924121</v>
      </c>
      <c r="J86" s="25">
        <f>$G$86*$B$103</f>
        <v>7649777.1668747813</v>
      </c>
      <c r="K86" s="6">
        <v>0</v>
      </c>
      <c r="L86" s="6">
        <v>0</v>
      </c>
      <c r="M86" s="6">
        <v>0</v>
      </c>
      <c r="N86" s="6">
        <v>0</v>
      </c>
      <c r="O86" s="25">
        <v>0</v>
      </c>
      <c r="P86" s="6">
        <f>SUM(H86:O86)</f>
        <v>14050000</v>
      </c>
    </row>
    <row r="87" spans="1:16">
      <c r="O87" s="214"/>
    </row>
    <row r="88" spans="1:16">
      <c r="A88" s="159">
        <f>Q2</f>
        <v>0</v>
      </c>
    </row>
    <row r="89" spans="1:16">
      <c r="A89" s="17">
        <v>2015</v>
      </c>
      <c r="G89" s="6">
        <f>G69+O89</f>
        <v>1470647191.4811175</v>
      </c>
    </row>
    <row r="90" spans="1:16">
      <c r="A90" s="17">
        <v>2016</v>
      </c>
      <c r="G90" s="6">
        <f>G73+O89</f>
        <v>1459865676.0907559</v>
      </c>
    </row>
    <row r="91" spans="1:16">
      <c r="G91" s="6">
        <f>G89-G90</f>
        <v>10781515.390361547</v>
      </c>
    </row>
    <row r="93" spans="1:16">
      <c r="B93" s="21"/>
      <c r="C93" s="21"/>
      <c r="D93" s="21"/>
      <c r="E93" s="21"/>
      <c r="F93" s="21"/>
      <c r="G93" s="25"/>
    </row>
    <row r="94" spans="1:16">
      <c r="B94" s="21"/>
      <c r="C94" s="21"/>
      <c r="D94" s="21"/>
      <c r="E94" s="21"/>
      <c r="F94" s="21"/>
      <c r="G94" s="25"/>
    </row>
    <row r="95" spans="1:16">
      <c r="B95" s="21"/>
      <c r="C95" s="21"/>
      <c r="D95" s="21"/>
      <c r="E95" s="21"/>
      <c r="F95" s="21"/>
      <c r="G95" s="25"/>
    </row>
    <row r="96" spans="1:16">
      <c r="B96" s="21"/>
      <c r="C96" s="278"/>
      <c r="D96" s="21"/>
      <c r="E96" s="21"/>
      <c r="F96" s="21"/>
      <c r="G96" s="25"/>
    </row>
    <row r="97" spans="1:7">
      <c r="B97" s="21"/>
      <c r="C97" s="21"/>
      <c r="D97" s="21"/>
      <c r="E97" s="21"/>
      <c r="F97" s="21"/>
      <c r="G97" s="25"/>
    </row>
    <row r="98" spans="1:7">
      <c r="B98" s="21"/>
      <c r="C98" s="21"/>
      <c r="D98" s="21"/>
      <c r="E98" s="21"/>
      <c r="F98" s="21"/>
      <c r="G98" s="25"/>
    </row>
    <row r="99" spans="1:7" ht="13.8" thickBot="1">
      <c r="B99" s="21"/>
      <c r="C99" s="21"/>
      <c r="D99" s="21"/>
      <c r="E99" s="21"/>
      <c r="F99" s="21"/>
      <c r="G99" s="25"/>
    </row>
    <row r="100" spans="1:7" ht="13.8" thickBot="1">
      <c r="A100" s="271" t="s">
        <v>164</v>
      </c>
      <c r="B100" s="272" t="s">
        <v>161</v>
      </c>
    </row>
    <row r="101" spans="1:7">
      <c r="A101" s="273" t="s">
        <v>162</v>
      </c>
      <c r="B101" s="274">
        <v>0.18370279403080472</v>
      </c>
    </row>
    <row r="102" spans="1:7">
      <c r="A102" s="273" t="s">
        <v>163</v>
      </c>
      <c r="B102" s="275">
        <v>0.27182908021298308</v>
      </c>
    </row>
    <row r="103" spans="1:7" ht="13.8" thickBot="1">
      <c r="A103" s="273" t="s">
        <v>155</v>
      </c>
      <c r="B103" s="276">
        <v>0.54446812575621217</v>
      </c>
    </row>
    <row r="104" spans="1:7" ht="13.8" thickBot="1">
      <c r="A104" s="213"/>
      <c r="B104" s="277">
        <v>1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B3" sqref="B3"/>
    </sheetView>
  </sheetViews>
  <sheetFormatPr defaultRowHeight="13.2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6" width="12.5546875" style="6" customWidth="1"/>
    <col min="7" max="7" width="11.33203125" style="6" customWidth="1"/>
    <col min="8" max="8" width="11.5546875" style="6" customWidth="1"/>
    <col min="9" max="9" width="12.6640625" style="6" bestFit="1" customWidth="1"/>
    <col min="10" max="10" width="12.6640625" style="6" customWidth="1"/>
    <col min="11" max="11" width="12.6640625" style="6" bestFit="1" customWidth="1"/>
    <col min="12" max="12" width="11.6640625" style="6" bestFit="1" customWidth="1"/>
    <col min="13" max="13" width="10.6640625" style="6" bestFit="1" customWidth="1"/>
    <col min="14" max="15" width="9.109375" style="6" customWidth="1"/>
  </cols>
  <sheetData>
    <row r="1" spans="1:13" ht="13.8" thickBot="1">
      <c r="A1" s="26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40.200000000000003" thickBot="1">
      <c r="A2" s="284"/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4999 kW</v>
      </c>
      <c r="E2" s="9" t="str">
        <f>'Rate Class Energy Model'!K2</f>
        <v>Large User</v>
      </c>
      <c r="F2" s="9" t="s">
        <v>93</v>
      </c>
      <c r="G2" s="9" t="str">
        <f>'Rate Class Energy Model'!M2</f>
        <v>Street Lights</v>
      </c>
      <c r="H2" s="9" t="str">
        <f>'Rate Class Energy Model'!N2</f>
        <v xml:space="preserve">Unmetered Loads </v>
      </c>
      <c r="I2" s="156" t="str">
        <f>'Rate Class Energy Model'!O2</f>
        <v>Embedded Distributors - #1</v>
      </c>
      <c r="J2" s="156"/>
      <c r="K2" s="6" t="s">
        <v>10</v>
      </c>
    </row>
    <row r="3" spans="1:13">
      <c r="A3" s="4"/>
      <c r="B3" s="37"/>
      <c r="C3" s="37"/>
      <c r="D3" s="37"/>
      <c r="E3" s="37"/>
      <c r="F3" s="37"/>
      <c r="G3" s="37"/>
      <c r="H3" s="37"/>
      <c r="I3" s="66"/>
      <c r="J3" s="66"/>
      <c r="K3" s="36"/>
    </row>
    <row r="4" spans="1:13">
      <c r="A4" s="4">
        <v>2002</v>
      </c>
      <c r="B4" s="66"/>
      <c r="C4" s="66"/>
      <c r="D4" s="36"/>
      <c r="E4" s="66"/>
      <c r="F4" s="36"/>
      <c r="G4" s="36"/>
      <c r="H4" s="36"/>
      <c r="I4" s="66"/>
      <c r="J4" s="66"/>
      <c r="K4" s="66"/>
    </row>
    <row r="5" spans="1:13">
      <c r="A5" s="4">
        <v>2003</v>
      </c>
      <c r="B5" s="37">
        <f>(+B50+B51)/2</f>
        <v>39235.5</v>
      </c>
      <c r="C5" s="37">
        <f t="shared" ref="C5:I5" si="0">(+C50+C51)/2</f>
        <v>4966.5</v>
      </c>
      <c r="D5" s="37">
        <f t="shared" si="0"/>
        <v>646</v>
      </c>
      <c r="E5" s="37">
        <f t="shared" si="0"/>
        <v>1</v>
      </c>
      <c r="F5" s="37">
        <f t="shared" si="0"/>
        <v>0</v>
      </c>
      <c r="G5" s="37">
        <f t="shared" si="0"/>
        <v>12291.5</v>
      </c>
      <c r="H5" s="37">
        <f t="shared" si="0"/>
        <v>458.5</v>
      </c>
      <c r="I5" s="37">
        <f t="shared" si="0"/>
        <v>0</v>
      </c>
      <c r="J5" s="37"/>
      <c r="K5" s="66">
        <f t="shared" ref="K4:K16" si="1">SUM(B5:J5)</f>
        <v>57599</v>
      </c>
    </row>
    <row r="6" spans="1:13">
      <c r="A6" s="4">
        <v>2004</v>
      </c>
      <c r="B6" s="37">
        <f t="shared" ref="B6:I16" si="2">(+B51+B52)/2</f>
        <v>40531</v>
      </c>
      <c r="C6" s="37">
        <f t="shared" si="2"/>
        <v>5001</v>
      </c>
      <c r="D6" s="37">
        <f t="shared" si="2"/>
        <v>631.5</v>
      </c>
      <c r="E6" s="37">
        <f t="shared" si="2"/>
        <v>1</v>
      </c>
      <c r="F6" s="37">
        <f t="shared" si="2"/>
        <v>0</v>
      </c>
      <c r="G6" s="37">
        <f t="shared" si="2"/>
        <v>12568</v>
      </c>
      <c r="H6" s="37">
        <f t="shared" si="2"/>
        <v>490</v>
      </c>
      <c r="I6" s="37">
        <f t="shared" si="2"/>
        <v>0</v>
      </c>
      <c r="J6" s="37"/>
      <c r="K6" s="66">
        <f t="shared" si="1"/>
        <v>59222.5</v>
      </c>
    </row>
    <row r="7" spans="1:13">
      <c r="A7" s="4">
        <v>2005</v>
      </c>
      <c r="B7" s="37">
        <f t="shared" si="2"/>
        <v>41768.5</v>
      </c>
      <c r="C7" s="37">
        <f t="shared" si="2"/>
        <v>5061.5</v>
      </c>
      <c r="D7" s="37">
        <f t="shared" si="2"/>
        <v>622.5</v>
      </c>
      <c r="E7" s="37">
        <f t="shared" si="2"/>
        <v>1</v>
      </c>
      <c r="F7" s="37">
        <f t="shared" si="2"/>
        <v>0</v>
      </c>
      <c r="G7" s="37">
        <f t="shared" si="2"/>
        <v>12934.5</v>
      </c>
      <c r="H7" s="37">
        <f t="shared" si="2"/>
        <v>490.5</v>
      </c>
      <c r="I7" s="37">
        <f t="shared" si="2"/>
        <v>0</v>
      </c>
      <c r="J7" s="37"/>
      <c r="K7" s="66">
        <f t="shared" si="1"/>
        <v>60878.5</v>
      </c>
    </row>
    <row r="8" spans="1:13">
      <c r="A8" s="4">
        <v>2006</v>
      </c>
      <c r="B8" s="37">
        <f t="shared" si="2"/>
        <v>42667.5</v>
      </c>
      <c r="C8" s="37">
        <f t="shared" si="2"/>
        <v>5119</v>
      </c>
      <c r="D8" s="37">
        <f t="shared" si="2"/>
        <v>621.5</v>
      </c>
      <c r="E8" s="37">
        <f t="shared" si="2"/>
        <v>1</v>
      </c>
      <c r="F8" s="37">
        <f t="shared" si="2"/>
        <v>0</v>
      </c>
      <c r="G8" s="37">
        <f t="shared" si="2"/>
        <v>13176.5</v>
      </c>
      <c r="H8" s="37">
        <f t="shared" si="2"/>
        <v>530</v>
      </c>
      <c r="I8" s="37">
        <f t="shared" si="2"/>
        <v>0</v>
      </c>
      <c r="J8" s="37"/>
      <c r="K8" s="66">
        <f t="shared" si="1"/>
        <v>62115.5</v>
      </c>
    </row>
    <row r="9" spans="1:13">
      <c r="A9" s="4">
        <v>2007</v>
      </c>
      <c r="B9" s="37">
        <f t="shared" si="2"/>
        <v>43381.5</v>
      </c>
      <c r="C9" s="37">
        <f t="shared" si="2"/>
        <v>5151</v>
      </c>
      <c r="D9" s="37">
        <f t="shared" si="2"/>
        <v>627</v>
      </c>
      <c r="E9" s="37">
        <f t="shared" si="2"/>
        <v>1</v>
      </c>
      <c r="F9" s="37">
        <f t="shared" si="2"/>
        <v>0</v>
      </c>
      <c r="G9" s="37">
        <f t="shared" si="2"/>
        <v>13357.5</v>
      </c>
      <c r="H9" s="37">
        <f t="shared" si="2"/>
        <v>553.5</v>
      </c>
      <c r="I9" s="37">
        <f t="shared" si="2"/>
        <v>0</v>
      </c>
      <c r="J9" s="37"/>
      <c r="K9" s="66">
        <f t="shared" si="1"/>
        <v>63071.5</v>
      </c>
    </row>
    <row r="10" spans="1:13">
      <c r="A10" s="4">
        <v>2008</v>
      </c>
      <c r="B10" s="37">
        <f t="shared" si="2"/>
        <v>44171.5</v>
      </c>
      <c r="C10" s="37">
        <f t="shared" si="2"/>
        <v>5183.5</v>
      </c>
      <c r="D10" s="37">
        <f t="shared" si="2"/>
        <v>647</v>
      </c>
      <c r="E10" s="37">
        <f t="shared" si="2"/>
        <v>1</v>
      </c>
      <c r="F10" s="37">
        <f t="shared" si="2"/>
        <v>0</v>
      </c>
      <c r="G10" s="37">
        <f t="shared" si="2"/>
        <v>13458.5</v>
      </c>
      <c r="H10" s="37">
        <f t="shared" si="2"/>
        <v>533.5</v>
      </c>
      <c r="I10" s="37">
        <f t="shared" si="2"/>
        <v>0</v>
      </c>
      <c r="J10" s="37"/>
      <c r="K10" s="66">
        <f t="shared" si="1"/>
        <v>63995</v>
      </c>
    </row>
    <row r="11" spans="1:13">
      <c r="A11" s="4">
        <v>2009</v>
      </c>
      <c r="B11" s="37">
        <f t="shared" si="2"/>
        <v>44853</v>
      </c>
      <c r="C11" s="37">
        <f t="shared" si="2"/>
        <v>5252.5</v>
      </c>
      <c r="D11" s="37">
        <f t="shared" si="2"/>
        <v>662.5</v>
      </c>
      <c r="E11" s="37">
        <f t="shared" si="2"/>
        <v>1</v>
      </c>
      <c r="F11" s="37">
        <f t="shared" si="2"/>
        <v>0</v>
      </c>
      <c r="G11" s="37">
        <f t="shared" si="2"/>
        <v>13548</v>
      </c>
      <c r="H11" s="37">
        <f t="shared" si="2"/>
        <v>534</v>
      </c>
      <c r="I11" s="37">
        <f t="shared" si="2"/>
        <v>0</v>
      </c>
      <c r="J11" s="37"/>
      <c r="K11" s="66">
        <f t="shared" si="1"/>
        <v>64851</v>
      </c>
    </row>
    <row r="12" spans="1:13">
      <c r="A12" s="4">
        <v>2010</v>
      </c>
      <c r="B12" s="37">
        <f t="shared" si="2"/>
        <v>45488</v>
      </c>
      <c r="C12" s="37">
        <f t="shared" si="2"/>
        <v>5342.5</v>
      </c>
      <c r="D12" s="37">
        <f t="shared" si="2"/>
        <v>663</v>
      </c>
      <c r="E12" s="37">
        <f t="shared" si="2"/>
        <v>1</v>
      </c>
      <c r="F12" s="37">
        <f t="shared" si="2"/>
        <v>0</v>
      </c>
      <c r="G12" s="37">
        <f t="shared" si="2"/>
        <v>13638.5</v>
      </c>
      <c r="H12" s="37">
        <f t="shared" si="2"/>
        <v>536.5</v>
      </c>
      <c r="I12" s="37">
        <f t="shared" si="2"/>
        <v>0</v>
      </c>
      <c r="J12" s="37"/>
      <c r="K12" s="66">
        <f t="shared" si="1"/>
        <v>65669.5</v>
      </c>
    </row>
    <row r="13" spans="1:13">
      <c r="A13" s="4">
        <v>2011</v>
      </c>
      <c r="B13" s="37">
        <f t="shared" si="2"/>
        <v>46194</v>
      </c>
      <c r="C13" s="37">
        <f t="shared" si="2"/>
        <v>5401.5</v>
      </c>
      <c r="D13" s="37">
        <f t="shared" si="2"/>
        <v>666</v>
      </c>
      <c r="E13" s="37">
        <f t="shared" si="2"/>
        <v>1</v>
      </c>
      <c r="F13" s="37">
        <f t="shared" si="2"/>
        <v>0</v>
      </c>
      <c r="G13" s="37">
        <f t="shared" si="2"/>
        <v>13677.5</v>
      </c>
      <c r="H13" s="37">
        <f t="shared" si="2"/>
        <v>499</v>
      </c>
      <c r="I13" s="169">
        <v>1</v>
      </c>
      <c r="J13" s="37"/>
      <c r="K13" s="66">
        <f t="shared" si="1"/>
        <v>66440</v>
      </c>
    </row>
    <row r="14" spans="1:13">
      <c r="A14" s="4">
        <v>2012</v>
      </c>
      <c r="B14" s="37">
        <f t="shared" si="2"/>
        <v>46876.5</v>
      </c>
      <c r="C14" s="37">
        <f t="shared" si="2"/>
        <v>5453.5</v>
      </c>
      <c r="D14" s="37">
        <f t="shared" si="2"/>
        <v>668</v>
      </c>
      <c r="E14" s="37">
        <f t="shared" si="2"/>
        <v>1</v>
      </c>
      <c r="F14" s="169">
        <v>2</v>
      </c>
      <c r="G14" s="37">
        <f t="shared" si="2"/>
        <v>13735.5</v>
      </c>
      <c r="H14" s="37">
        <f t="shared" si="2"/>
        <v>471.5</v>
      </c>
      <c r="I14" s="37">
        <f t="shared" si="2"/>
        <v>1</v>
      </c>
      <c r="J14" s="37"/>
      <c r="K14" s="66">
        <f t="shared" si="1"/>
        <v>67209</v>
      </c>
    </row>
    <row r="15" spans="1:13">
      <c r="A15" s="4">
        <v>2013</v>
      </c>
      <c r="B15" s="37">
        <f t="shared" si="2"/>
        <v>47602</v>
      </c>
      <c r="C15" s="37">
        <f t="shared" si="2"/>
        <v>5503</v>
      </c>
      <c r="D15" s="37">
        <f t="shared" si="2"/>
        <v>670</v>
      </c>
      <c r="E15" s="37">
        <f t="shared" si="2"/>
        <v>1</v>
      </c>
      <c r="F15" s="37">
        <f t="shared" si="2"/>
        <v>2</v>
      </c>
      <c r="G15" s="37">
        <f t="shared" si="2"/>
        <v>13840.5</v>
      </c>
      <c r="H15" s="37">
        <f t="shared" si="2"/>
        <v>496</v>
      </c>
      <c r="I15" s="37">
        <f t="shared" si="2"/>
        <v>1</v>
      </c>
      <c r="J15" s="37"/>
      <c r="K15" s="66">
        <f t="shared" si="1"/>
        <v>68115.5</v>
      </c>
    </row>
    <row r="16" spans="1:13">
      <c r="A16" s="285">
        <v>2014</v>
      </c>
      <c r="B16" s="169">
        <f t="shared" si="2"/>
        <v>48190.5</v>
      </c>
      <c r="C16" s="169">
        <f t="shared" si="2"/>
        <v>5546.5</v>
      </c>
      <c r="D16" s="169">
        <f t="shared" si="2"/>
        <v>683</v>
      </c>
      <c r="E16" s="169">
        <f t="shared" si="2"/>
        <v>1</v>
      </c>
      <c r="F16" s="169">
        <f t="shared" si="2"/>
        <v>2</v>
      </c>
      <c r="G16" s="169">
        <f t="shared" si="2"/>
        <v>13852.5</v>
      </c>
      <c r="H16" s="169">
        <f t="shared" si="2"/>
        <v>519</v>
      </c>
      <c r="I16" s="169">
        <f t="shared" si="2"/>
        <v>1</v>
      </c>
      <c r="J16" s="37"/>
      <c r="K16" s="66">
        <f t="shared" si="1"/>
        <v>68795.5</v>
      </c>
    </row>
    <row r="17" spans="1:11">
      <c r="A17" s="285">
        <v>2015</v>
      </c>
      <c r="B17" s="169">
        <f t="shared" ref="B17:D17" si="3">(+B62+B63)/2</f>
        <v>48705</v>
      </c>
      <c r="C17" s="169">
        <f t="shared" si="3"/>
        <v>5595.5</v>
      </c>
      <c r="D17" s="169">
        <f t="shared" si="3"/>
        <v>694</v>
      </c>
      <c r="E17" s="66">
        <f>E16*E36</f>
        <v>1</v>
      </c>
      <c r="F17" s="66">
        <v>2</v>
      </c>
      <c r="G17" s="186">
        <f t="shared" ref="G17:H17" si="4">(+G62+G63)/2</f>
        <v>13808</v>
      </c>
      <c r="H17" s="169">
        <f t="shared" si="4"/>
        <v>541</v>
      </c>
      <c r="I17" s="66">
        <v>1</v>
      </c>
      <c r="J17" s="66"/>
      <c r="K17" s="66">
        <f>SUM(B17:J17)</f>
        <v>69347.5</v>
      </c>
    </row>
    <row r="18" spans="1:11">
      <c r="A18" s="285">
        <v>2016</v>
      </c>
      <c r="B18" s="169">
        <f t="shared" ref="B18:D18" si="5">(+B63+B64)/2</f>
        <v>49305</v>
      </c>
      <c r="C18" s="169">
        <f t="shared" si="5"/>
        <v>5632</v>
      </c>
      <c r="D18" s="169">
        <f t="shared" si="5"/>
        <v>693</v>
      </c>
      <c r="E18" s="66">
        <f>E17*E36</f>
        <v>1</v>
      </c>
      <c r="F18" s="66">
        <v>2</v>
      </c>
      <c r="G18" s="186">
        <f t="shared" ref="G18:H18" si="6">(+G63+G64)/2</f>
        <v>13828</v>
      </c>
      <c r="H18" s="169">
        <f t="shared" si="6"/>
        <v>563</v>
      </c>
      <c r="I18" s="66">
        <v>1</v>
      </c>
      <c r="J18" s="66"/>
      <c r="K18" s="66">
        <f>SUM(B18:J18)</f>
        <v>70025</v>
      </c>
    </row>
    <row r="19" spans="1:11">
      <c r="A19" s="18"/>
    </row>
    <row r="20" spans="1:11">
      <c r="A20" s="17" t="s">
        <v>42</v>
      </c>
      <c r="B20" s="5"/>
      <c r="C20" s="5"/>
      <c r="D20" s="210"/>
      <c r="E20" s="167"/>
      <c r="F20" s="5"/>
      <c r="G20" s="22"/>
      <c r="H20" s="172"/>
    </row>
    <row r="21" spans="1:11">
      <c r="A21" s="4"/>
      <c r="B21" s="22"/>
      <c r="C21" s="22"/>
      <c r="D21" s="211"/>
      <c r="E21" s="168"/>
      <c r="F21" s="22"/>
      <c r="G21" s="22"/>
      <c r="H21" s="173"/>
    </row>
    <row r="22" spans="1:11">
      <c r="A22" s="4">
        <v>2002</v>
      </c>
      <c r="B22" s="22"/>
      <c r="C22" s="22"/>
      <c r="D22" s="211"/>
      <c r="E22" s="22"/>
      <c r="F22" s="211"/>
      <c r="G22" s="22"/>
      <c r="H22" s="173"/>
    </row>
    <row r="23" spans="1:11">
      <c r="A23" s="4">
        <v>2003</v>
      </c>
      <c r="B23" s="22"/>
      <c r="C23" s="22"/>
      <c r="D23" s="22"/>
      <c r="E23" s="22"/>
      <c r="F23" s="211"/>
      <c r="G23" s="22"/>
      <c r="H23" s="22"/>
    </row>
    <row r="24" spans="1:11">
      <c r="A24" s="4">
        <v>2004</v>
      </c>
      <c r="B24" s="22">
        <f t="shared" ref="B24:C31" si="7">B6/B5</f>
        <v>1.0330185673688368</v>
      </c>
      <c r="C24" s="22">
        <f t="shared" si="7"/>
        <v>1.0069465418302628</v>
      </c>
      <c r="D24" s="22">
        <f t="shared" ref="D24:D34" si="8">D6/D5</f>
        <v>0.97755417956656343</v>
      </c>
      <c r="E24" s="22">
        <f t="shared" ref="E24:E32" si="9">E6/E5</f>
        <v>1</v>
      </c>
      <c r="F24" s="22"/>
      <c r="G24" s="22"/>
      <c r="H24" s="22"/>
      <c r="K24" s="60"/>
    </row>
    <row r="25" spans="1:11">
      <c r="A25" s="4">
        <v>2005</v>
      </c>
      <c r="B25" s="22">
        <f t="shared" si="7"/>
        <v>1.0305321852409266</v>
      </c>
      <c r="C25" s="22">
        <f t="shared" si="7"/>
        <v>1.0120975804839032</v>
      </c>
      <c r="D25" s="22">
        <f t="shared" si="8"/>
        <v>0.98574821852731587</v>
      </c>
      <c r="E25" s="22">
        <f t="shared" si="9"/>
        <v>1</v>
      </c>
      <c r="F25" s="22"/>
      <c r="G25" s="22"/>
      <c r="H25" s="22"/>
    </row>
    <row r="26" spans="1:11">
      <c r="A26" s="4">
        <v>2006</v>
      </c>
      <c r="B26" s="22">
        <f t="shared" si="7"/>
        <v>1.0215233968181763</v>
      </c>
      <c r="C26" s="22">
        <f t="shared" si="7"/>
        <v>1.0113602686950509</v>
      </c>
      <c r="D26" s="22">
        <f t="shared" si="8"/>
        <v>0.99839357429718878</v>
      </c>
      <c r="E26" s="22">
        <f t="shared" si="9"/>
        <v>1</v>
      </c>
      <c r="F26" s="22"/>
      <c r="G26" s="22">
        <f t="shared" ref="G26:G32" si="10">G8/G7</f>
        <v>1.0187096524798021</v>
      </c>
      <c r="H26" s="22"/>
    </row>
    <row r="27" spans="1:11">
      <c r="A27" s="4">
        <v>2007</v>
      </c>
      <c r="B27" s="22">
        <f t="shared" si="7"/>
        <v>1.0167340481631217</v>
      </c>
      <c r="C27" s="22">
        <f t="shared" si="7"/>
        <v>1.0062512209415901</v>
      </c>
      <c r="D27" s="22">
        <f t="shared" si="8"/>
        <v>1.0088495575221239</v>
      </c>
      <c r="E27" s="22">
        <f t="shared" si="9"/>
        <v>1</v>
      </c>
      <c r="F27" s="22"/>
      <c r="G27" s="22">
        <f t="shared" si="10"/>
        <v>1.0137365764808561</v>
      </c>
      <c r="H27" s="22"/>
    </row>
    <row r="28" spans="1:11">
      <c r="A28" s="4">
        <v>2008</v>
      </c>
      <c r="B28" s="22">
        <f t="shared" si="7"/>
        <v>1.0182105275290159</v>
      </c>
      <c r="C28" s="22">
        <f t="shared" si="7"/>
        <v>1.0063094544748592</v>
      </c>
      <c r="D28" s="22">
        <f t="shared" si="8"/>
        <v>1.0318979266347688</v>
      </c>
      <c r="E28" s="22">
        <f t="shared" si="9"/>
        <v>1</v>
      </c>
      <c r="F28" s="22"/>
      <c r="G28" s="22">
        <f t="shared" si="10"/>
        <v>1.0075612951525361</v>
      </c>
      <c r="H28" s="22"/>
    </row>
    <row r="29" spans="1:11">
      <c r="A29" s="4">
        <v>2009</v>
      </c>
      <c r="B29" s="22">
        <f t="shared" si="7"/>
        <v>1.0154285002773282</v>
      </c>
      <c r="C29" s="22">
        <f t="shared" si="7"/>
        <v>1.0133114690845952</v>
      </c>
      <c r="D29" s="22">
        <f t="shared" si="8"/>
        <v>1.0239567233384854</v>
      </c>
      <c r="E29" s="22">
        <f t="shared" si="9"/>
        <v>1</v>
      </c>
      <c r="F29" s="22"/>
      <c r="G29" s="22">
        <f t="shared" si="10"/>
        <v>1.0066500724449232</v>
      </c>
      <c r="H29" s="22">
        <f t="shared" ref="H29:I34" si="11">H11/H10</f>
        <v>1.0009372071227742</v>
      </c>
    </row>
    <row r="30" spans="1:11">
      <c r="A30" s="4">
        <v>2010</v>
      </c>
      <c r="B30" s="22">
        <f t="shared" si="7"/>
        <v>1.0141573584821528</v>
      </c>
      <c r="C30" s="22">
        <f t="shared" si="7"/>
        <v>1.0171346977629701</v>
      </c>
      <c r="D30" s="22">
        <f t="shared" si="8"/>
        <v>1.0007547169811322</v>
      </c>
      <c r="E30" s="22">
        <f t="shared" si="9"/>
        <v>1</v>
      </c>
      <c r="F30" s="22"/>
      <c r="G30" s="22">
        <f t="shared" si="10"/>
        <v>1.006679952760555</v>
      </c>
      <c r="H30" s="22">
        <f t="shared" si="11"/>
        <v>1.0046816479400749</v>
      </c>
    </row>
    <row r="31" spans="1:11">
      <c r="A31" s="4">
        <v>2011</v>
      </c>
      <c r="B31" s="22">
        <f>B13/B12</f>
        <v>1.0155205768554345</v>
      </c>
      <c r="C31" s="22">
        <f t="shared" si="7"/>
        <v>1.0110435189518017</v>
      </c>
      <c r="D31" s="22">
        <f t="shared" si="8"/>
        <v>1.004524886877828</v>
      </c>
      <c r="E31" s="22">
        <f t="shared" si="9"/>
        <v>1</v>
      </c>
      <c r="F31" s="22"/>
      <c r="G31" s="22">
        <f t="shared" si="10"/>
        <v>1.0028595520035195</v>
      </c>
      <c r="H31" s="22">
        <f t="shared" si="11"/>
        <v>0.93010251630941287</v>
      </c>
    </row>
    <row r="32" spans="1:11">
      <c r="A32" s="4">
        <v>2012</v>
      </c>
      <c r="B32" s="22">
        <f>B14/B13</f>
        <v>1.0147746460579297</v>
      </c>
      <c r="C32" s="22">
        <f>C14/C13</f>
        <v>1.009626955475331</v>
      </c>
      <c r="D32" s="22">
        <f t="shared" si="8"/>
        <v>1.003003003003003</v>
      </c>
      <c r="E32" s="22">
        <f t="shared" si="9"/>
        <v>1</v>
      </c>
      <c r="F32" s="22"/>
      <c r="G32" s="22">
        <f t="shared" si="10"/>
        <v>1.0042405410345459</v>
      </c>
      <c r="H32" s="22">
        <f t="shared" si="11"/>
        <v>0.94488977955911824</v>
      </c>
      <c r="I32" s="22">
        <f t="shared" si="11"/>
        <v>1</v>
      </c>
      <c r="J32" s="22"/>
    </row>
    <row r="33" spans="1:10">
      <c r="A33" s="4">
        <v>2013</v>
      </c>
      <c r="B33" s="22">
        <f>B15/B14</f>
        <v>1.0154768380745149</v>
      </c>
      <c r="C33" s="22">
        <f>C15/C14</f>
        <v>1.0090767397084441</v>
      </c>
      <c r="D33" s="22">
        <f t="shared" si="8"/>
        <v>1.0029940119760479</v>
      </c>
      <c r="E33" s="22">
        <f>E15/E14</f>
        <v>1</v>
      </c>
      <c r="F33" s="22">
        <f t="shared" ref="F33" si="12">F15/F14</f>
        <v>1</v>
      </c>
      <c r="G33" s="73">
        <f>G15/G14</f>
        <v>1.0076444250300316</v>
      </c>
      <c r="H33" s="73">
        <f t="shared" si="11"/>
        <v>1.0519618239660657</v>
      </c>
      <c r="I33" s="22">
        <f>I15/I14</f>
        <v>1</v>
      </c>
      <c r="J33" s="22"/>
    </row>
    <row r="34" spans="1:10">
      <c r="A34" s="4">
        <v>2014</v>
      </c>
      <c r="B34" s="22">
        <f>B16/B15</f>
        <v>1.012362925927482</v>
      </c>
      <c r="C34" s="22">
        <f>C16/C15</f>
        <v>1.0079047792113394</v>
      </c>
      <c r="D34" s="22">
        <f t="shared" si="8"/>
        <v>1.0194029850746269</v>
      </c>
      <c r="E34" s="22">
        <f>E16/E15</f>
        <v>1</v>
      </c>
      <c r="F34" s="22">
        <f t="shared" ref="F34" si="13">F16/F15</f>
        <v>1</v>
      </c>
      <c r="G34" s="22">
        <f>G16/G15</f>
        <v>1.0008670207001191</v>
      </c>
      <c r="H34" s="22">
        <f t="shared" si="11"/>
        <v>1.0463709677419355</v>
      </c>
      <c r="I34" s="22">
        <f>I16/I15</f>
        <v>1</v>
      </c>
      <c r="J34" s="22"/>
    </row>
    <row r="36" spans="1:10">
      <c r="A36" t="s">
        <v>61</v>
      </c>
      <c r="B36" s="23">
        <f>B38</f>
        <v>1.0188648210464533</v>
      </c>
      <c r="C36" s="23">
        <f t="shared" ref="C36:I36" si="14">C38</f>
        <v>1.0100916471632095</v>
      </c>
      <c r="D36" s="23">
        <f t="shared" si="14"/>
        <v>1.0050760538923447</v>
      </c>
      <c r="E36" s="23">
        <v>1</v>
      </c>
      <c r="F36" s="23">
        <f>F38</f>
        <v>1</v>
      </c>
      <c r="G36" s="23">
        <f>G38</f>
        <v>1.0076477134766644</v>
      </c>
      <c r="H36" s="23">
        <f t="shared" si="14"/>
        <v>0.99541799828378852</v>
      </c>
      <c r="I36" s="23">
        <f t="shared" si="14"/>
        <v>1</v>
      </c>
      <c r="J36" s="23"/>
    </row>
    <row r="37" spans="1:10">
      <c r="B37" s="23"/>
      <c r="C37" s="23"/>
      <c r="D37" s="23"/>
      <c r="E37" s="23"/>
      <c r="F37" s="23"/>
      <c r="G37" s="23"/>
      <c r="H37" s="23"/>
    </row>
    <row r="38" spans="1:10">
      <c r="A38" t="s">
        <v>15</v>
      </c>
      <c r="B38" s="23">
        <f>GEOMEAN(B21:B34)</f>
        <v>1.0188648210464533</v>
      </c>
      <c r="C38" s="23">
        <f t="shared" ref="C38:I38" si="15">GEOMEAN(C21:C34)</f>
        <v>1.0100916471632095</v>
      </c>
      <c r="D38" s="23">
        <f t="shared" si="15"/>
        <v>1.0050760538923447</v>
      </c>
      <c r="E38" s="23">
        <f t="shared" si="15"/>
        <v>1</v>
      </c>
      <c r="F38" s="280">
        <f>GEOMEAN(F33:F34)</f>
        <v>1</v>
      </c>
      <c r="G38" s="23">
        <f>GEOMEAN(G21:G34)</f>
        <v>1.0076477134766644</v>
      </c>
      <c r="H38" s="23">
        <f t="shared" si="15"/>
        <v>0.99541799828378852</v>
      </c>
      <c r="I38" s="23">
        <f t="shared" si="15"/>
        <v>1</v>
      </c>
      <c r="J38" s="23"/>
    </row>
    <row r="39" spans="1:10">
      <c r="A39" s="4"/>
      <c r="B39" s="23"/>
      <c r="C39" s="23"/>
      <c r="D39" s="23"/>
      <c r="E39" s="23"/>
      <c r="F39" s="23"/>
      <c r="G39" s="23"/>
      <c r="H39" s="23"/>
    </row>
    <row r="40" spans="1:10">
      <c r="A40" s="4"/>
      <c r="B40" s="23">
        <f t="shared" ref="B40:I40" si="16">B38-1</f>
        <v>1.8864821046453262E-2</v>
      </c>
      <c r="C40" s="23">
        <f t="shared" si="16"/>
        <v>1.0091647163209538E-2</v>
      </c>
      <c r="D40" s="23">
        <f t="shared" si="16"/>
        <v>5.0760538923446674E-3</v>
      </c>
      <c r="E40" s="23">
        <f t="shared" si="16"/>
        <v>0</v>
      </c>
      <c r="F40" s="23">
        <f t="shared" si="16"/>
        <v>0</v>
      </c>
      <c r="G40" s="23">
        <f t="shared" si="16"/>
        <v>7.6477134766643751E-3</v>
      </c>
      <c r="H40" s="23">
        <f t="shared" si="16"/>
        <v>-4.5820017162114812E-3</v>
      </c>
      <c r="I40" s="23">
        <f t="shared" si="16"/>
        <v>0</v>
      </c>
      <c r="J40" s="23"/>
    </row>
    <row r="41" spans="1:10">
      <c r="A41" s="4"/>
      <c r="B41" s="23"/>
      <c r="C41" s="23"/>
      <c r="D41" s="23"/>
      <c r="E41" s="23"/>
      <c r="F41" s="23"/>
      <c r="G41" s="23"/>
      <c r="H41" s="23"/>
    </row>
    <row r="42" spans="1:10">
      <c r="A42" s="4"/>
      <c r="B42" s="62"/>
      <c r="C42" s="23"/>
      <c r="D42" s="23"/>
      <c r="G42" s="23"/>
      <c r="H42" s="23"/>
    </row>
    <row r="43" spans="1:10">
      <c r="A43" s="4"/>
      <c r="B43" s="23"/>
      <c r="C43" s="23"/>
      <c r="D43" s="23"/>
      <c r="E43" s="23"/>
      <c r="F43" s="74"/>
      <c r="G43" s="194"/>
      <c r="H43" s="74"/>
    </row>
    <row r="44" spans="1:10">
      <c r="A44" s="289"/>
      <c r="B44" s="290"/>
      <c r="C44" s="290"/>
      <c r="D44" s="290"/>
      <c r="E44" s="23"/>
      <c r="F44" s="23"/>
      <c r="G44" s="23"/>
      <c r="H44" s="288"/>
    </row>
    <row r="45" spans="1:10">
      <c r="A45" s="4">
        <v>1997</v>
      </c>
      <c r="B45" s="109"/>
      <c r="C45" s="109"/>
      <c r="D45" s="109"/>
      <c r="E45" s="109"/>
      <c r="F45" s="109"/>
      <c r="G45" s="109"/>
      <c r="H45" s="109"/>
      <c r="I45" s="66"/>
    </row>
    <row r="46" spans="1:10">
      <c r="A46" s="4">
        <v>1998</v>
      </c>
      <c r="B46" s="109"/>
      <c r="C46" s="109"/>
      <c r="D46" s="109"/>
      <c r="E46" s="109"/>
      <c r="F46" s="109"/>
      <c r="G46" s="109"/>
      <c r="H46" s="109"/>
      <c r="I46" s="66"/>
    </row>
    <row r="47" spans="1:10">
      <c r="A47" s="4">
        <v>1999</v>
      </c>
      <c r="B47" s="109"/>
      <c r="C47" s="109"/>
      <c r="D47" s="109"/>
      <c r="E47" s="109"/>
      <c r="F47" s="109"/>
      <c r="G47" s="109"/>
      <c r="H47" s="109"/>
      <c r="I47" s="66"/>
      <c r="J47" s="25"/>
    </row>
    <row r="48" spans="1:10">
      <c r="A48" s="4">
        <v>2000</v>
      </c>
      <c r="B48" s="109"/>
      <c r="C48" s="109"/>
      <c r="D48" s="109"/>
      <c r="E48" s="109"/>
      <c r="F48" s="109"/>
      <c r="G48" s="109"/>
      <c r="H48" s="109"/>
      <c r="I48" s="66"/>
      <c r="J48" s="25"/>
    </row>
    <row r="49" spans="1:10">
      <c r="A49" s="4">
        <v>2001</v>
      </c>
      <c r="B49" s="109"/>
      <c r="C49" s="109"/>
      <c r="D49" s="109"/>
      <c r="E49" s="109"/>
      <c r="F49" s="109"/>
      <c r="G49" s="109"/>
      <c r="H49" s="109"/>
      <c r="I49" s="66"/>
      <c r="J49" s="25"/>
    </row>
    <row r="50" spans="1:10">
      <c r="A50" s="4">
        <v>2002</v>
      </c>
      <c r="B50" s="36">
        <v>38624</v>
      </c>
      <c r="C50" s="36">
        <v>4956</v>
      </c>
      <c r="D50" s="169">
        <v>655</v>
      </c>
      <c r="E50" s="36">
        <v>1</v>
      </c>
      <c r="F50" s="36"/>
      <c r="G50" s="279">
        <v>12238</v>
      </c>
      <c r="H50" s="36">
        <v>432</v>
      </c>
      <c r="I50" s="66"/>
      <c r="J50" s="25"/>
    </row>
    <row r="51" spans="1:10">
      <c r="A51" s="4">
        <v>2003</v>
      </c>
      <c r="B51" s="37">
        <v>39847</v>
      </c>
      <c r="C51" s="37">
        <v>4977</v>
      </c>
      <c r="D51" s="37">
        <v>637</v>
      </c>
      <c r="E51" s="37">
        <v>1</v>
      </c>
      <c r="F51" s="37"/>
      <c r="G51" s="279">
        <v>12345</v>
      </c>
      <c r="H51" s="37">
        <v>485</v>
      </c>
      <c r="I51" s="66"/>
      <c r="J51" s="25"/>
    </row>
    <row r="52" spans="1:10">
      <c r="A52" s="4">
        <v>2004</v>
      </c>
      <c r="B52" s="37">
        <v>41215</v>
      </c>
      <c r="C52" s="37">
        <v>5025</v>
      </c>
      <c r="D52" s="37">
        <v>626</v>
      </c>
      <c r="E52" s="37">
        <v>1</v>
      </c>
      <c r="F52" s="37"/>
      <c r="G52" s="279">
        <v>12791</v>
      </c>
      <c r="H52" s="37">
        <v>495</v>
      </c>
      <c r="I52" s="66"/>
      <c r="J52" s="25"/>
    </row>
    <row r="53" spans="1:10">
      <c r="A53" s="4">
        <v>2005</v>
      </c>
      <c r="B53" s="37">
        <v>42322</v>
      </c>
      <c r="C53" s="37">
        <v>5098</v>
      </c>
      <c r="D53" s="37">
        <v>619</v>
      </c>
      <c r="E53" s="37">
        <v>1</v>
      </c>
      <c r="F53" s="37"/>
      <c r="G53" s="279">
        <v>13078</v>
      </c>
      <c r="H53" s="37">
        <v>486</v>
      </c>
      <c r="I53" s="66"/>
      <c r="J53" s="25"/>
    </row>
    <row r="54" spans="1:10">
      <c r="A54" s="4">
        <v>2006</v>
      </c>
      <c r="B54" s="37">
        <v>43013</v>
      </c>
      <c r="C54" s="37">
        <v>5140</v>
      </c>
      <c r="D54" s="37">
        <v>624</v>
      </c>
      <c r="E54" s="37">
        <v>1</v>
      </c>
      <c r="F54" s="37"/>
      <c r="G54" s="279">
        <v>13275</v>
      </c>
      <c r="H54" s="37">
        <v>574</v>
      </c>
      <c r="I54" s="66"/>
      <c r="J54" s="25"/>
    </row>
    <row r="55" spans="1:10">
      <c r="A55" s="4">
        <v>2007</v>
      </c>
      <c r="B55" s="37">
        <v>43750</v>
      </c>
      <c r="C55" s="37">
        <v>5162</v>
      </c>
      <c r="D55" s="37">
        <v>630</v>
      </c>
      <c r="E55" s="37">
        <v>1</v>
      </c>
      <c r="F55" s="37"/>
      <c r="G55" s="279">
        <v>13440</v>
      </c>
      <c r="H55" s="37">
        <v>533</v>
      </c>
      <c r="I55" s="66"/>
      <c r="J55" s="25"/>
    </row>
    <row r="56" spans="1:10">
      <c r="A56" s="4">
        <v>2008</v>
      </c>
      <c r="B56" s="37">
        <v>44593</v>
      </c>
      <c r="C56" s="37">
        <v>5205</v>
      </c>
      <c r="D56" s="37">
        <v>664</v>
      </c>
      <c r="E56" s="37">
        <v>1</v>
      </c>
      <c r="F56" s="37"/>
      <c r="G56" s="279">
        <v>13477</v>
      </c>
      <c r="H56" s="37">
        <v>534</v>
      </c>
      <c r="I56" s="66"/>
      <c r="J56" s="25"/>
    </row>
    <row r="57" spans="1:10">
      <c r="A57" s="4">
        <v>2009</v>
      </c>
      <c r="B57" s="37">
        <v>45113</v>
      </c>
      <c r="C57" s="37">
        <v>5300</v>
      </c>
      <c r="D57" s="37">
        <v>661</v>
      </c>
      <c r="E57" s="37">
        <v>1</v>
      </c>
      <c r="F57" s="37"/>
      <c r="G57" s="279">
        <v>13619</v>
      </c>
      <c r="H57" s="37">
        <v>534</v>
      </c>
      <c r="I57" s="66"/>
      <c r="J57" s="25"/>
    </row>
    <row r="58" spans="1:10">
      <c r="A58" s="4">
        <v>2010</v>
      </c>
      <c r="B58" s="37">
        <v>45863</v>
      </c>
      <c r="C58" s="37">
        <v>5385</v>
      </c>
      <c r="D58" s="37">
        <v>665</v>
      </c>
      <c r="E58" s="37">
        <v>1</v>
      </c>
      <c r="F58" s="37"/>
      <c r="G58" s="279">
        <v>13658</v>
      </c>
      <c r="H58" s="37">
        <v>539</v>
      </c>
      <c r="I58" s="66"/>
      <c r="J58" s="25"/>
    </row>
    <row r="59" spans="1:10">
      <c r="A59" s="4">
        <v>2011</v>
      </c>
      <c r="B59" s="69">
        <v>46525</v>
      </c>
      <c r="C59" s="69">
        <v>5418</v>
      </c>
      <c r="D59" s="69">
        <v>667</v>
      </c>
      <c r="E59" s="69">
        <v>1</v>
      </c>
      <c r="F59" s="69"/>
      <c r="G59" s="286">
        <v>13697</v>
      </c>
      <c r="H59" s="286">
        <v>459</v>
      </c>
      <c r="I59" s="66">
        <v>1</v>
      </c>
      <c r="J59" s="25"/>
    </row>
    <row r="60" spans="1:10">
      <c r="A60" s="4">
        <v>2012</v>
      </c>
      <c r="B60" s="70">
        <v>47228</v>
      </c>
      <c r="C60" s="70">
        <v>5489</v>
      </c>
      <c r="D60" s="70">
        <v>669</v>
      </c>
      <c r="E60" s="70">
        <v>1</v>
      </c>
      <c r="F60" s="70">
        <v>2</v>
      </c>
      <c r="G60" s="286">
        <v>13774</v>
      </c>
      <c r="H60" s="70">
        <v>484</v>
      </c>
      <c r="I60" s="66">
        <v>1</v>
      </c>
      <c r="J60" s="25"/>
    </row>
    <row r="61" spans="1:10">
      <c r="A61" s="4">
        <v>2013</v>
      </c>
      <c r="B61" s="66">
        <v>47976</v>
      </c>
      <c r="C61" s="66">
        <v>5517</v>
      </c>
      <c r="D61" s="66">
        <v>671</v>
      </c>
      <c r="E61" s="66">
        <v>1</v>
      </c>
      <c r="F61" s="66">
        <v>2</v>
      </c>
      <c r="G61" s="186">
        <v>13907</v>
      </c>
      <c r="H61" s="66">
        <v>508</v>
      </c>
      <c r="I61" s="66">
        <v>1</v>
      </c>
      <c r="J61" s="25"/>
    </row>
    <row r="62" spans="1:10">
      <c r="A62" s="4">
        <v>2014</v>
      </c>
      <c r="B62" s="66">
        <v>48405</v>
      </c>
      <c r="C62" s="66">
        <v>5576</v>
      </c>
      <c r="D62" s="66">
        <v>695</v>
      </c>
      <c r="E62" s="66">
        <v>1</v>
      </c>
      <c r="F62" s="66">
        <v>2</v>
      </c>
      <c r="G62" s="66">
        <v>13798</v>
      </c>
      <c r="H62" s="66">
        <v>530</v>
      </c>
      <c r="I62" s="66">
        <v>1</v>
      </c>
      <c r="J62" s="25"/>
    </row>
    <row r="63" spans="1:10">
      <c r="A63" s="287">
        <v>2015</v>
      </c>
      <c r="B63" s="186">
        <f>+B62+600</f>
        <v>49005</v>
      </c>
      <c r="C63" s="186">
        <f>+C62+39</f>
        <v>5615</v>
      </c>
      <c r="D63" s="186">
        <v>693</v>
      </c>
      <c r="E63" s="186">
        <v>1</v>
      </c>
      <c r="F63" s="186">
        <v>2</v>
      </c>
      <c r="G63" s="186">
        <f>+G62+20</f>
        <v>13818</v>
      </c>
      <c r="H63" s="186">
        <f>530+22</f>
        <v>552</v>
      </c>
      <c r="I63" s="66">
        <v>1</v>
      </c>
      <c r="J63" s="25"/>
    </row>
    <row r="64" spans="1:10">
      <c r="A64" s="287">
        <v>2016</v>
      </c>
      <c r="B64" s="186">
        <f>+B63+600</f>
        <v>49605</v>
      </c>
      <c r="C64" s="186">
        <f>+C63+34</f>
        <v>5649</v>
      </c>
      <c r="D64" s="186">
        <v>693</v>
      </c>
      <c r="E64" s="186">
        <v>1</v>
      </c>
      <c r="F64" s="186">
        <v>2</v>
      </c>
      <c r="G64" s="186">
        <f>+G63+20</f>
        <v>13838</v>
      </c>
      <c r="H64" s="186">
        <f>552+22</f>
        <v>574</v>
      </c>
      <c r="I64" s="66">
        <v>1</v>
      </c>
      <c r="J64" s="25"/>
    </row>
    <row r="65" spans="1:15" s="29" customFormat="1">
      <c r="A65" s="208"/>
      <c r="B65" s="209"/>
      <c r="C65" s="218"/>
      <c r="D65" s="74"/>
      <c r="E65" s="74"/>
      <c r="F65" s="74"/>
      <c r="G65" s="194"/>
      <c r="H65" s="74"/>
      <c r="I65" s="6"/>
      <c r="J65" s="25"/>
      <c r="K65" s="6"/>
      <c r="L65" s="6"/>
      <c r="M65" s="6"/>
      <c r="N65" s="6"/>
      <c r="O65" s="6"/>
    </row>
    <row r="66" spans="1:15" s="29" customFormat="1">
      <c r="A66" s="208"/>
      <c r="B66" s="209"/>
      <c r="C66" s="218"/>
      <c r="D66" s="74"/>
      <c r="E66" s="74"/>
      <c r="F66" s="74"/>
      <c r="G66" s="194"/>
      <c r="H66" s="74"/>
      <c r="I66" s="6"/>
      <c r="J66" s="25"/>
      <c r="K66" s="25"/>
      <c r="L66" s="25"/>
      <c r="M66" s="25"/>
      <c r="N66" s="25"/>
      <c r="O66" s="25"/>
    </row>
    <row r="67" spans="1:15" s="29" customFormat="1">
      <c r="A67" s="208"/>
      <c r="B67" s="209"/>
      <c r="C67" s="74"/>
      <c r="D67" s="74"/>
      <c r="E67" s="74"/>
      <c r="F67" s="74"/>
      <c r="G67" s="74"/>
      <c r="H67" s="74"/>
      <c r="I67" s="6"/>
      <c r="J67" s="25"/>
      <c r="K67" s="25"/>
      <c r="L67" s="25"/>
      <c r="M67" s="25"/>
      <c r="N67" s="25"/>
      <c r="O67" s="25"/>
    </row>
    <row r="68" spans="1:15">
      <c r="B68" s="179"/>
      <c r="C68" s="23"/>
      <c r="D68" s="23"/>
      <c r="E68" s="23"/>
      <c r="F68" s="23"/>
      <c r="G68" s="23"/>
      <c r="H68" s="23"/>
    </row>
    <row r="69" spans="1:15">
      <c r="B69" s="183"/>
      <c r="C69" s="23"/>
      <c r="D69" s="23"/>
      <c r="E69" s="23"/>
      <c r="F69" s="23"/>
      <c r="G69" s="23"/>
      <c r="H69" s="23"/>
    </row>
    <row r="70" spans="1:15">
      <c r="B70" s="184"/>
      <c r="C70" s="23"/>
      <c r="D70" s="23"/>
      <c r="E70" s="23"/>
      <c r="F70" s="23"/>
      <c r="G70" s="23"/>
      <c r="H70" s="23"/>
    </row>
    <row r="71" spans="1:15">
      <c r="B71" s="184"/>
      <c r="C71" s="23"/>
      <c r="D71" s="23"/>
      <c r="E71" s="23"/>
      <c r="F71" s="23"/>
      <c r="G71" s="23"/>
      <c r="H71" s="23"/>
    </row>
    <row r="72" spans="1:15">
      <c r="B72" s="182"/>
      <c r="C72" s="23"/>
      <c r="D72" s="23"/>
      <c r="E72" s="23"/>
      <c r="F72" s="23"/>
      <c r="G72" s="23"/>
      <c r="H72" s="23"/>
    </row>
    <row r="73" spans="1:15">
      <c r="B73" s="23"/>
      <c r="C73" s="23"/>
      <c r="D73" s="23"/>
      <c r="E73" s="23"/>
      <c r="F73" s="23"/>
      <c r="G73" s="23"/>
      <c r="H73" s="23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Normal="100" workbookViewId="0">
      <selection activeCell="C35" sqref="C35"/>
    </sheetView>
  </sheetViews>
  <sheetFormatPr defaultRowHeight="13.2"/>
  <cols>
    <col min="1" max="1" width="11" customWidth="1"/>
    <col min="2" max="2" width="14.109375" style="6" bestFit="1" customWidth="1"/>
    <col min="3" max="5" width="12.5546875" style="6" customWidth="1"/>
    <col min="6" max="6" width="10.5546875" customWidth="1"/>
    <col min="7" max="7" width="12.6640625" style="6" bestFit="1" customWidth="1"/>
    <col min="8" max="8" width="12.33203125" style="6" bestFit="1" customWidth="1"/>
    <col min="9" max="9" width="10.6640625" style="6" bestFit="1" customWidth="1"/>
    <col min="10" max="11" width="9.109375" style="6" customWidth="1"/>
  </cols>
  <sheetData>
    <row r="1" spans="1:11" ht="42" customHeight="1">
      <c r="A1" s="291"/>
      <c r="B1" s="8" t="str">
        <f>'Rate Class Customer Model'!D2</f>
        <v>General Service &gt; 50 to 4999 kW</v>
      </c>
      <c r="C1" s="8" t="str">
        <f>'Rate Class Customer Model'!E2</f>
        <v>Large User</v>
      </c>
      <c r="D1" s="170" t="s">
        <v>93</v>
      </c>
      <c r="E1" s="292" t="str">
        <f>'Rate Class Customer Model'!G2</f>
        <v>Street Lights</v>
      </c>
      <c r="F1" s="78" t="s">
        <v>67</v>
      </c>
      <c r="G1" s="6" t="s">
        <v>10</v>
      </c>
    </row>
    <row r="2" spans="1:11">
      <c r="A2" s="28">
        <v>2001</v>
      </c>
      <c r="B2" s="20"/>
      <c r="C2" s="20"/>
      <c r="D2" s="20"/>
      <c r="E2" s="20"/>
      <c r="F2" s="79"/>
    </row>
    <row r="3" spans="1:11">
      <c r="A3" s="28">
        <v>2002</v>
      </c>
      <c r="B3" s="165"/>
      <c r="C3" s="175"/>
      <c r="D3" s="44"/>
      <c r="E3" s="44"/>
      <c r="F3" s="79"/>
      <c r="G3" s="6">
        <f t="shared" ref="G3:G11" si="0">SUM(B3:E3)</f>
        <v>0</v>
      </c>
    </row>
    <row r="4" spans="1:11">
      <c r="A4" s="28">
        <v>2003</v>
      </c>
      <c r="B4" s="45">
        <v>1578391.22</v>
      </c>
      <c r="C4" s="44">
        <v>120390.91</v>
      </c>
      <c r="D4" s="44"/>
      <c r="E4" s="293">
        <v>20125.75</v>
      </c>
      <c r="F4" s="79"/>
      <c r="G4" s="6">
        <f t="shared" si="0"/>
        <v>1718907.88</v>
      </c>
    </row>
    <row r="5" spans="1:11">
      <c r="A5" s="28">
        <v>2004</v>
      </c>
      <c r="B5" s="45">
        <v>1578376.8800000001</v>
      </c>
      <c r="C5" s="44">
        <v>136143.48000000001</v>
      </c>
      <c r="D5" s="44"/>
      <c r="E5" s="293">
        <v>20541.026000000002</v>
      </c>
      <c r="F5" s="79"/>
      <c r="G5" s="6">
        <f t="shared" si="0"/>
        <v>1735061.3860000002</v>
      </c>
    </row>
    <row r="6" spans="1:11">
      <c r="A6" s="28">
        <v>2005</v>
      </c>
      <c r="B6" s="45">
        <v>1609886.5499999998</v>
      </c>
      <c r="C6" s="44">
        <v>138634.15</v>
      </c>
      <c r="D6" s="44"/>
      <c r="E6" s="293">
        <v>21197.885999999999</v>
      </c>
      <c r="F6" s="79"/>
      <c r="G6" s="6">
        <f t="shared" si="0"/>
        <v>1769718.5859999997</v>
      </c>
    </row>
    <row r="7" spans="1:11">
      <c r="A7" s="28">
        <v>2006</v>
      </c>
      <c r="B7" s="45">
        <v>1625473.94</v>
      </c>
      <c r="C7" s="44">
        <v>144512.38</v>
      </c>
      <c r="D7" s="44"/>
      <c r="E7" s="293">
        <v>21492.79</v>
      </c>
      <c r="F7" s="79"/>
      <c r="G7" s="6">
        <f t="shared" si="0"/>
        <v>1791479.1099999999</v>
      </c>
    </row>
    <row r="8" spans="1:11">
      <c r="A8" s="28">
        <v>2007</v>
      </c>
      <c r="B8" s="45">
        <v>1650920.52526434</v>
      </c>
      <c r="C8" s="44">
        <v>147257.86545956359</v>
      </c>
      <c r="D8" s="44"/>
      <c r="E8" s="293">
        <v>21702.994999999999</v>
      </c>
      <c r="F8" s="79"/>
      <c r="G8" s="6">
        <f t="shared" si="0"/>
        <v>1819881.3857239038</v>
      </c>
    </row>
    <row r="9" spans="1:11">
      <c r="A9" s="28">
        <v>2008</v>
      </c>
      <c r="B9" s="45">
        <v>1665645.4876041899</v>
      </c>
      <c r="C9" s="44">
        <v>145766.05751103099</v>
      </c>
      <c r="D9" s="44"/>
      <c r="E9" s="293">
        <v>21921.075000000001</v>
      </c>
      <c r="F9" s="79"/>
      <c r="G9" s="6">
        <f t="shared" si="0"/>
        <v>1833332.6201152208</v>
      </c>
    </row>
    <row r="10" spans="1:11">
      <c r="A10" s="28">
        <v>2009</v>
      </c>
      <c r="B10" s="45">
        <v>1682115.0064068299</v>
      </c>
      <c r="C10" s="44">
        <v>144355.31891495423</v>
      </c>
      <c r="D10" s="44"/>
      <c r="E10" s="293">
        <v>22078.296999999999</v>
      </c>
      <c r="F10" s="79"/>
      <c r="G10" s="6">
        <f t="shared" si="0"/>
        <v>1848548.6223217843</v>
      </c>
    </row>
    <row r="11" spans="1:11">
      <c r="A11" s="28">
        <v>2010</v>
      </c>
      <c r="B11" s="44">
        <v>1762264.4908548973</v>
      </c>
      <c r="C11" s="44">
        <v>155986.1286054042</v>
      </c>
      <c r="D11" s="44"/>
      <c r="E11" s="293">
        <v>22211.699000000001</v>
      </c>
      <c r="F11" s="79"/>
      <c r="G11" s="6">
        <f t="shared" si="0"/>
        <v>1940462.3184603015</v>
      </c>
    </row>
    <row r="12" spans="1:11">
      <c r="A12" s="28">
        <v>2011</v>
      </c>
      <c r="B12" s="75">
        <v>1775934.1105933774</v>
      </c>
      <c r="C12" s="75">
        <v>160630.4092067632</v>
      </c>
      <c r="D12" s="75"/>
      <c r="E12" s="175">
        <v>22236.633999999998</v>
      </c>
      <c r="F12" s="75">
        <v>39512.080000000002</v>
      </c>
      <c r="G12" s="6">
        <f t="shared" ref="G12:G17" si="1">SUM(B12:F12)</f>
        <v>1998313.2338001407</v>
      </c>
    </row>
    <row r="13" spans="1:11">
      <c r="A13" s="28">
        <v>2012</v>
      </c>
      <c r="B13" s="75">
        <v>1801338.9912232563</v>
      </c>
      <c r="C13" s="75">
        <v>165061.06945578445</v>
      </c>
      <c r="D13" s="75">
        <v>5848.1500000000005</v>
      </c>
      <c r="E13" s="175">
        <v>22349.085999999999</v>
      </c>
      <c r="F13" s="75">
        <v>71506.52</v>
      </c>
      <c r="G13" s="6">
        <f t="shared" si="1"/>
        <v>2066103.8166790407</v>
      </c>
    </row>
    <row r="14" spans="1:11">
      <c r="A14" s="28">
        <v>2013</v>
      </c>
      <c r="B14" s="75">
        <v>1766194.5720479451</v>
      </c>
      <c r="C14" s="75">
        <v>168360.64399864853</v>
      </c>
      <c r="D14" s="75">
        <v>13337.56</v>
      </c>
      <c r="E14" s="175">
        <v>22476.001</v>
      </c>
      <c r="F14" s="75">
        <v>71173.789999999994</v>
      </c>
      <c r="G14" s="6">
        <f t="shared" si="1"/>
        <v>2041542.5670465936</v>
      </c>
    </row>
    <row r="15" spans="1:11">
      <c r="A15" s="28">
        <v>2014</v>
      </c>
      <c r="B15" s="75">
        <v>1726654.3667194992</v>
      </c>
      <c r="C15" s="75">
        <v>166648.90999999997</v>
      </c>
      <c r="D15" s="75">
        <v>12738.060000000001</v>
      </c>
      <c r="E15" s="175">
        <v>21568.221999999994</v>
      </c>
      <c r="F15" s="75">
        <v>72406.850000000006</v>
      </c>
      <c r="G15" s="6">
        <f t="shared" si="1"/>
        <v>2000016.4087194994</v>
      </c>
    </row>
    <row r="16" spans="1:11">
      <c r="A16" s="28">
        <v>2015</v>
      </c>
      <c r="B16" s="75">
        <f>B35*'Rate Class Energy Model'!J73</f>
        <v>1749824.0134108856</v>
      </c>
      <c r="C16" s="75">
        <f>C35*'Rate Class Energy Model'!K73</f>
        <v>170072.65435918243</v>
      </c>
      <c r="D16" s="75">
        <f>D35*'Rate Class Energy Model'!L73</f>
        <v>12785.136115664116</v>
      </c>
      <c r="E16" s="75">
        <f>E35*'Rate Class Energy Model'!M73</f>
        <v>21239.71699462146</v>
      </c>
      <c r="F16" s="75">
        <f>F35*'Rate Class Energy Model'!O73</f>
        <v>71802.963370070749</v>
      </c>
      <c r="G16" s="6">
        <f t="shared" si="1"/>
        <v>2025724.4842504244</v>
      </c>
      <c r="H16"/>
      <c r="I16"/>
      <c r="J16"/>
      <c r="K16"/>
    </row>
    <row r="17" spans="1:17">
      <c r="A17" s="28">
        <v>2016</v>
      </c>
      <c r="B17" s="75">
        <f>B35*'Rate Class Energy Model'!J74</f>
        <v>1746786.3333798393</v>
      </c>
      <c r="C17" s="75">
        <f>C35*'Rate Class Energy Model'!K74</f>
        <v>173580.8037846073</v>
      </c>
      <c r="D17" s="75">
        <f>D35*'Rate Class Energy Model'!L74</f>
        <v>12620.490187771175</v>
      </c>
      <c r="E17" s="75">
        <f>E35*'Rate Class Energy Model'!M74</f>
        <v>21114.613090851304</v>
      </c>
      <c r="F17" s="75">
        <f>F35*'Rate Class Energy Model'!O74</f>
        <v>71405.700633654502</v>
      </c>
      <c r="G17" s="6">
        <f t="shared" si="1"/>
        <v>2025507.9410767236</v>
      </c>
    </row>
    <row r="18" spans="1:17">
      <c r="A18" s="270"/>
      <c r="B18" s="25"/>
    </row>
    <row r="19" spans="1:17">
      <c r="A19" s="17" t="s">
        <v>63</v>
      </c>
      <c r="B19" s="5"/>
      <c r="C19" s="295"/>
      <c r="D19" s="296"/>
      <c r="E19" s="5"/>
    </row>
    <row r="20" spans="1:17">
      <c r="A20" s="4">
        <v>2001</v>
      </c>
      <c r="B20" s="26"/>
      <c r="C20" s="297"/>
      <c r="D20" s="296"/>
      <c r="E20" s="268"/>
      <c r="F20" s="25"/>
      <c r="G20" s="25"/>
      <c r="H20" s="25"/>
      <c r="I20" s="25"/>
      <c r="J20" s="25"/>
      <c r="K20" s="25"/>
      <c r="L20" s="25"/>
      <c r="M20" s="25"/>
      <c r="Q20" s="6"/>
    </row>
    <row r="21" spans="1:17">
      <c r="A21" s="4">
        <v>2002</v>
      </c>
      <c r="B21" s="26"/>
      <c r="C21" s="298"/>
      <c r="D21" s="296"/>
      <c r="E21" s="26"/>
    </row>
    <row r="22" spans="1:17">
      <c r="A22" s="4">
        <v>2003</v>
      </c>
      <c r="B22" s="26">
        <f>B4/'Rate Class Energy Model'!J12</f>
        <v>2.7160519245640873E-3</v>
      </c>
      <c r="C22" s="26">
        <f>C4/'Rate Class Energy Model'!K12</f>
        <v>1.8398947325799805E-3</v>
      </c>
      <c r="D22" s="26"/>
      <c r="E22" s="26"/>
    </row>
    <row r="23" spans="1:17">
      <c r="A23" s="4">
        <v>2004</v>
      </c>
      <c r="B23" s="26">
        <f>B5/'Rate Class Energy Model'!J13</f>
        <v>2.601995073411125E-3</v>
      </c>
      <c r="C23" s="26">
        <f>C5/'Rate Class Energy Model'!K13</f>
        <v>2.0606862962475958E-3</v>
      </c>
      <c r="D23" s="26"/>
      <c r="E23" s="26"/>
    </row>
    <row r="24" spans="1:17">
      <c r="A24" s="4">
        <v>2005</v>
      </c>
      <c r="B24" s="26">
        <f>B6/'Rate Class Energy Model'!J14</f>
        <v>2.5646854506443588E-3</v>
      </c>
      <c r="C24" s="26">
        <f>C6/'Rate Class Energy Model'!K14</f>
        <v>1.964937901232899E-3</v>
      </c>
      <c r="D24" s="26"/>
      <c r="E24" s="26">
        <f>E6/'Rate Class Energy Model'!M14</f>
        <v>2.7520598148500055E-3</v>
      </c>
    </row>
    <row r="25" spans="1:17">
      <c r="A25" s="4">
        <v>2006</v>
      </c>
      <c r="B25" s="26">
        <f>B7/'Rate Class Energy Model'!J15</f>
        <v>2.4616176775028192E-3</v>
      </c>
      <c r="C25" s="26">
        <f>C7/'Rate Class Energy Model'!K15</f>
        <v>1.9616465775045529E-3</v>
      </c>
      <c r="D25" s="26"/>
      <c r="E25" s="26">
        <f>E7/'Rate Class Energy Model'!M15</f>
        <v>2.7864629568363141E-3</v>
      </c>
    </row>
    <row r="26" spans="1:17">
      <c r="A26" s="4">
        <v>2007</v>
      </c>
      <c r="B26" s="26">
        <f>B8/'Rate Class Energy Model'!J16</f>
        <v>2.4179196766858581E-3</v>
      </c>
      <c r="C26" s="26">
        <f>C8/'Rate Class Energy Model'!K16</f>
        <v>1.9095764241745621E-3</v>
      </c>
      <c r="D26" s="26"/>
      <c r="E26" s="26">
        <f>E8/'Rate Class Energy Model'!M16</f>
        <v>2.8061387214359311E-3</v>
      </c>
    </row>
    <row r="27" spans="1:17">
      <c r="A27" s="4">
        <v>2008</v>
      </c>
      <c r="B27" s="26">
        <f>B9/'Rate Class Energy Model'!J17</f>
        <v>2.4013967051245235E-3</v>
      </c>
      <c r="C27" s="26">
        <f>C9/'Rate Class Energy Model'!K17</f>
        <v>1.8996377443688327E-3</v>
      </c>
      <c r="D27" s="26"/>
      <c r="E27" s="26">
        <f>E9/'Rate Class Energy Model'!M17</f>
        <v>2.765789570636377E-3</v>
      </c>
    </row>
    <row r="28" spans="1:17">
      <c r="A28" s="4">
        <v>2009</v>
      </c>
      <c r="B28" s="26">
        <f>B10/'Rate Class Energy Model'!J18</f>
        <v>2.4129292592214406E-3</v>
      </c>
      <c r="C28" s="26">
        <f>C10/'Rate Class Energy Model'!K18</f>
        <v>1.8868015199307441E-3</v>
      </c>
      <c r="D28" s="26"/>
      <c r="E28" s="26">
        <f>E10/'Rate Class Energy Model'!M18</f>
        <v>2.7870536307707809E-3</v>
      </c>
    </row>
    <row r="29" spans="1:17">
      <c r="A29" s="4">
        <v>2010</v>
      </c>
      <c r="B29" s="26">
        <f>B11/'Rate Class Energy Model'!J19</f>
        <v>2.3983727930878226E-3</v>
      </c>
      <c r="C29" s="26">
        <f>C11/'Rate Class Energy Model'!K19</f>
        <v>1.8886117626821445E-3</v>
      </c>
      <c r="D29" s="26"/>
      <c r="E29" s="26">
        <f>E11/'Rate Class Energy Model'!M19</f>
        <v>2.7924088357621306E-3</v>
      </c>
    </row>
    <row r="30" spans="1:17">
      <c r="A30" s="4">
        <v>2011</v>
      </c>
      <c r="B30" s="26">
        <f>B12/'Rate Class Energy Model'!J20</f>
        <v>2.4491459829135507E-3</v>
      </c>
      <c r="C30" s="26">
        <f>C12/'Rate Class Energy Model'!K20</f>
        <v>1.9066006140475969E-3</v>
      </c>
      <c r="D30" s="26"/>
      <c r="E30" s="26">
        <f>E12/'Rate Class Energy Model'!M20</f>
        <v>2.8006949915047258E-3</v>
      </c>
      <c r="F30" s="299">
        <f>F12/('Rate Class Energy Model'!O20)</f>
        <v>1.7935298681043582E-3</v>
      </c>
      <c r="H30" s="26"/>
    </row>
    <row r="31" spans="1:17">
      <c r="A31" s="4">
        <v>2012</v>
      </c>
      <c r="B31" s="26">
        <f>B13/'Rate Class Energy Model'!J21</f>
        <v>2.5141123879028303E-3</v>
      </c>
      <c r="C31" s="26">
        <f>C13/'Rate Class Energy Model'!K21</f>
        <v>1.9029237991238001E-3</v>
      </c>
      <c r="D31" s="26">
        <f>D13/'Rate Class Energy Model'!L21</f>
        <v>1.646188731710547E-3</v>
      </c>
      <c r="E31" s="26">
        <f>E13/'Rate Class Energy Model'!M21</f>
        <v>2.7341713135504552E-3</v>
      </c>
      <c r="F31" s="299">
        <f>F13/('Rate Class Energy Model'!O21)</f>
        <v>2.2287969329798361E-3</v>
      </c>
      <c r="H31" s="26"/>
    </row>
    <row r="32" spans="1:17">
      <c r="A32" s="4">
        <v>2013</v>
      </c>
      <c r="B32" s="26">
        <f>B14/'Rate Class Energy Model'!J22</f>
        <v>2.5026238566983943E-3</v>
      </c>
      <c r="C32" s="26">
        <f>C14/'Rate Class Energy Model'!K22</f>
        <v>1.8664705550928973E-3</v>
      </c>
      <c r="D32" s="26">
        <f>D14/'Rate Class Energy Model'!L22</f>
        <v>1.8800997887630996E-3</v>
      </c>
      <c r="E32" s="26">
        <f>E14/'Rate Class Energy Model'!M22</f>
        <v>2.7836405760213612E-3</v>
      </c>
      <c r="F32" s="299">
        <f>F14/('Rate Class Energy Model'!O22)</f>
        <v>2.3159579799973263E-3</v>
      </c>
      <c r="H32" s="26"/>
    </row>
    <row r="33" spans="1:8">
      <c r="A33" s="4">
        <v>2014</v>
      </c>
      <c r="B33" s="26">
        <f>B15/'Rate Class Energy Model'!J23</f>
        <v>2.4672035546610687E-3</v>
      </c>
      <c r="C33" s="26">
        <f>C15/'Rate Class Energy Model'!K23</f>
        <v>1.8271854744217576E-3</v>
      </c>
      <c r="D33" s="26">
        <f>D15/'Rate Class Energy Model'!L23</f>
        <v>1.8190177512919241E-3</v>
      </c>
      <c r="E33" s="26">
        <f>E15/'Rate Class Energy Model'!M23</f>
        <v>2.7935012037110496E-3</v>
      </c>
      <c r="F33" s="299">
        <f>F15/('Rate Class Energy Model'!O23)</f>
        <v>2.2820411948972167E-3</v>
      </c>
      <c r="H33" s="26"/>
    </row>
    <row r="34" spans="1:8">
      <c r="A34" s="4">
        <v>2015</v>
      </c>
      <c r="C34" s="294">
        <f>TREND(C24:C33,$A$24:$A$33,$A$34)</f>
        <v>1.8375536282030473E-3</v>
      </c>
      <c r="F34" s="113"/>
    </row>
    <row r="35" spans="1:8">
      <c r="A35" t="s">
        <v>14</v>
      </c>
      <c r="B35" s="26">
        <f>AVERAGE(B24:B33)</f>
        <v>2.4590007344442665E-3</v>
      </c>
      <c r="C35" s="294">
        <f>TREND(C24:C33,$A$24:$A$33,$A$36)</f>
        <v>1.8259380629203313E-3</v>
      </c>
      <c r="D35" s="299">
        <f>AVERAGE(D32:D33)</f>
        <v>1.8495587700275119E-3</v>
      </c>
      <c r="E35" s="26">
        <f>AVERAGE(E24:E33)</f>
        <v>2.7801921615079124E-3</v>
      </c>
      <c r="F35" s="299">
        <f>AVERAGE(F31:F33)</f>
        <v>2.2755987026247932E-3</v>
      </c>
    </row>
    <row r="36" spans="1:8">
      <c r="A36" s="196">
        <v>2016</v>
      </c>
    </row>
    <row r="37" spans="1:8">
      <c r="A37" s="29"/>
      <c r="B37" s="294"/>
      <c r="C37" s="25"/>
      <c r="D37" s="209"/>
      <c r="E37" s="25"/>
      <c r="F37" s="209"/>
    </row>
    <row r="38" spans="1:8">
      <c r="A38" s="29"/>
      <c r="B38" s="300"/>
      <c r="C38" s="25"/>
      <c r="D38" s="209"/>
      <c r="E38" s="25"/>
      <c r="F38" s="209"/>
    </row>
    <row r="39" spans="1:8">
      <c r="A39" s="29"/>
      <c r="B39" s="214"/>
      <c r="C39" s="214"/>
      <c r="D39" s="25"/>
      <c r="E39" s="25"/>
      <c r="F39" s="29"/>
    </row>
    <row r="42" spans="1:8">
      <c r="B42" s="24"/>
      <c r="C42" s="24"/>
      <c r="D42" s="24"/>
      <c r="E42" s="24"/>
    </row>
    <row r="43" spans="1:8">
      <c r="B43" s="24"/>
      <c r="C43" s="24"/>
      <c r="D43" s="24"/>
      <c r="E43" s="24"/>
    </row>
    <row r="62" spans="2:5">
      <c r="B62" s="15"/>
      <c r="C62" s="15"/>
      <c r="D62" s="15"/>
      <c r="E62" s="15"/>
    </row>
    <row r="63" spans="2:5">
      <c r="B63" s="15"/>
      <c r="C63" s="15"/>
      <c r="D63" s="15"/>
      <c r="E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zoomScaleNormal="100" workbookViewId="0">
      <selection activeCell="A7" sqref="A7"/>
    </sheetView>
  </sheetViews>
  <sheetFormatPr defaultRowHeight="13.2"/>
  <cols>
    <col min="1" max="1" width="13.88671875" bestFit="1" customWidth="1"/>
    <col min="2" max="2" width="12" customWidth="1"/>
    <col min="3" max="3" width="18.44140625" bestFit="1" customWidth="1"/>
    <col min="4" max="4" width="11.44140625" customWidth="1"/>
    <col min="5" max="5" width="11" customWidth="1"/>
    <col min="6" max="7" width="12" bestFit="1" customWidth="1"/>
    <col min="8" max="8" width="11.109375" bestFit="1" customWidth="1"/>
    <col min="9" max="9" width="12.5546875" bestFit="1" customWidth="1"/>
    <col min="11" max="11" width="13.109375" customWidth="1"/>
  </cols>
  <sheetData>
    <row r="1" spans="1:9" ht="33.6" customHeight="1">
      <c r="B1" s="237" t="s">
        <v>68</v>
      </c>
      <c r="C1" s="237"/>
      <c r="D1" s="237"/>
    </row>
    <row r="2" spans="1:9">
      <c r="B2" s="305">
        <v>66490000</v>
      </c>
      <c r="C2" s="305"/>
      <c r="D2" s="305"/>
    </row>
    <row r="4" spans="1:9" ht="13.8" thickBot="1">
      <c r="B4" s="238"/>
      <c r="C4" s="238"/>
      <c r="D4" s="238"/>
      <c r="E4" s="238"/>
      <c r="F4" s="238"/>
    </row>
    <row r="5" spans="1:9">
      <c r="A5" s="306"/>
      <c r="B5" s="177">
        <v>2011</v>
      </c>
      <c r="C5" s="177">
        <v>2012</v>
      </c>
      <c r="D5" s="177">
        <v>2013</v>
      </c>
      <c r="E5" s="177">
        <v>2014</v>
      </c>
      <c r="F5" s="177" t="s">
        <v>10</v>
      </c>
      <c r="G5" s="177">
        <v>2015</v>
      </c>
      <c r="H5" s="178">
        <v>2016</v>
      </c>
    </row>
    <row r="6" spans="1:9">
      <c r="A6" s="157" t="s">
        <v>98</v>
      </c>
      <c r="B6" s="80">
        <f>B12/$B$2</f>
        <v>8.8750233117762076E-2</v>
      </c>
      <c r="C6" s="80">
        <f>C12/$B$2</f>
        <v>9.7202586855166195E-2</v>
      </c>
      <c r="D6" s="80">
        <f>D12/$B$2</f>
        <v>9.6916829598435852E-2</v>
      </c>
      <c r="E6" s="80">
        <f>E12/$B$2</f>
        <v>9.4314934576628068E-2</v>
      </c>
      <c r="F6" s="81">
        <f>SUM(B6:E6)</f>
        <v>0.37718458414799216</v>
      </c>
      <c r="G6" s="237"/>
      <c r="H6" s="239"/>
    </row>
    <row r="7" spans="1:9">
      <c r="A7" s="157" t="s">
        <v>99</v>
      </c>
      <c r="B7" s="81"/>
      <c r="C7" s="80">
        <f>C13/$B$2</f>
        <v>9.6948699052489096E-2</v>
      </c>
      <c r="D7" s="80">
        <f>D13/$B$2</f>
        <v>8.1245300045119567E-2</v>
      </c>
      <c r="E7" s="80">
        <f>E13/$B$2</f>
        <v>8.0839223943450139E-2</v>
      </c>
      <c r="F7" s="81">
        <f>SUM(B7:E7)</f>
        <v>0.2590332230410588</v>
      </c>
      <c r="G7" s="237"/>
      <c r="H7" s="239"/>
    </row>
    <row r="8" spans="1:9">
      <c r="A8" s="157" t="s">
        <v>100</v>
      </c>
      <c r="B8" s="82"/>
      <c r="C8" s="81"/>
      <c r="D8" s="303">
        <f>D14/$B$2</f>
        <v>8.9788436215972323E-2</v>
      </c>
      <c r="E8" s="303">
        <f>E14/$B$2</f>
        <v>9.5051887501879984E-2</v>
      </c>
      <c r="F8" s="81">
        <f>SUM(B8:E8)</f>
        <v>0.18484032371785231</v>
      </c>
      <c r="G8" s="237"/>
      <c r="H8" s="239"/>
    </row>
    <row r="9" spans="1:9">
      <c r="A9" s="157" t="s">
        <v>101</v>
      </c>
      <c r="B9" s="82"/>
      <c r="C9" s="82"/>
      <c r="D9" s="304"/>
      <c r="E9" s="303">
        <f>E15/$B$2</f>
        <v>9.4751090389532264E-2</v>
      </c>
      <c r="F9" s="81">
        <f>SUM(B9:E9)</f>
        <v>9.4751090389532264E-2</v>
      </c>
      <c r="G9" s="237"/>
      <c r="H9" s="239"/>
    </row>
    <row r="10" spans="1:9" ht="13.8" thickBot="1">
      <c r="A10" s="157" t="s">
        <v>10</v>
      </c>
      <c r="B10" s="81">
        <f>SUM(B6:B9)</f>
        <v>8.8750233117762076E-2</v>
      </c>
      <c r="C10" s="81">
        <f>SUM(C6:C9)</f>
        <v>0.19415128590765529</v>
      </c>
      <c r="D10" s="81">
        <f>SUM(D6:D9)</f>
        <v>0.26795056585952776</v>
      </c>
      <c r="E10" s="81">
        <f>SUM(E6:E9)</f>
        <v>0.36495713641149047</v>
      </c>
      <c r="F10" s="81">
        <f>SUM(B10:E10)</f>
        <v>0.91580922129643572</v>
      </c>
      <c r="G10" s="237"/>
      <c r="H10" s="239"/>
    </row>
    <row r="11" spans="1:9" ht="13.8" thickBot="1">
      <c r="A11" s="240"/>
      <c r="B11" s="241"/>
      <c r="C11" s="241"/>
      <c r="D11" s="241"/>
      <c r="E11" s="241"/>
      <c r="F11" s="241"/>
      <c r="G11" s="241"/>
      <c r="H11" s="242"/>
      <c r="I11" s="193" t="s">
        <v>159</v>
      </c>
    </row>
    <row r="12" spans="1:9">
      <c r="A12" s="157" t="s">
        <v>98</v>
      </c>
      <c r="B12" s="175">
        <f>6490800-589797</f>
        <v>5901003</v>
      </c>
      <c r="C12" s="175">
        <v>6463000</v>
      </c>
      <c r="D12" s="175">
        <v>6444000</v>
      </c>
      <c r="E12" s="175">
        <v>6271000</v>
      </c>
      <c r="F12" s="220">
        <f>SUM(B12:E12)</f>
        <v>25079003</v>
      </c>
      <c r="G12" s="175">
        <f>+E12-50000</f>
        <v>6221000</v>
      </c>
      <c r="H12" s="302">
        <f>+G12-50000</f>
        <v>6171000</v>
      </c>
      <c r="I12" s="192">
        <f>+F12+G12+H12</f>
        <v>37471003</v>
      </c>
    </row>
    <row r="13" spans="1:9">
      <c r="A13" s="157" t="s">
        <v>99</v>
      </c>
      <c r="B13" s="234"/>
      <c r="C13" s="175">
        <f>6058238+387881</f>
        <v>6446119</v>
      </c>
      <c r="D13" s="175">
        <v>5402000</v>
      </c>
      <c r="E13" s="175">
        <v>5375000</v>
      </c>
      <c r="F13" s="220">
        <f>SUM(B13:E13)</f>
        <v>17223119</v>
      </c>
      <c r="G13" s="175">
        <f>+E13-50000</f>
        <v>5325000</v>
      </c>
      <c r="H13" s="302">
        <f>+G13-50000</f>
        <v>5275000</v>
      </c>
      <c r="I13" s="190">
        <f>+F13+G13+H13</f>
        <v>27823119</v>
      </c>
    </row>
    <row r="14" spans="1:9">
      <c r="A14" s="157" t="s">
        <v>100</v>
      </c>
      <c r="B14" s="234"/>
      <c r="C14" s="234"/>
      <c r="D14" s="175">
        <v>5970033.1239999998</v>
      </c>
      <c r="E14" s="175">
        <v>6320000</v>
      </c>
      <c r="F14" s="220">
        <f>SUM(B14:E14)</f>
        <v>12290033.124</v>
      </c>
      <c r="G14" s="175">
        <f>+E14-50000</f>
        <v>6270000</v>
      </c>
      <c r="H14" s="302">
        <f>+G14-50000</f>
        <v>6220000</v>
      </c>
      <c r="I14" s="190">
        <f>+F14+G14+H14</f>
        <v>24780033.123999998</v>
      </c>
    </row>
    <row r="15" spans="1:9">
      <c r="A15" s="157" t="s">
        <v>101</v>
      </c>
      <c r="B15" s="234"/>
      <c r="C15" s="234"/>
      <c r="D15" s="234"/>
      <c r="E15" s="175">
        <v>6300000</v>
      </c>
      <c r="F15" s="220">
        <f>SUM(B15:E15)</f>
        <v>6300000</v>
      </c>
      <c r="G15" s="175">
        <f>+E15-50000</f>
        <v>6250000</v>
      </c>
      <c r="H15" s="302">
        <f>+G15-50000</f>
        <v>6200000</v>
      </c>
      <c r="I15" s="190">
        <f>+F15+G15+H15</f>
        <v>18750000</v>
      </c>
    </row>
    <row r="16" spans="1:9">
      <c r="A16" s="157" t="s">
        <v>17</v>
      </c>
      <c r="B16" s="234">
        <f>SUM(B12:B15)</f>
        <v>5901003</v>
      </c>
      <c r="C16" s="234">
        <f>SUM(C12:C15)</f>
        <v>12909119</v>
      </c>
      <c r="D16" s="234">
        <f>SUM(D12:D15)</f>
        <v>17816033.123999998</v>
      </c>
      <c r="E16" s="234">
        <f>SUM(E12:E15)</f>
        <v>24266000</v>
      </c>
      <c r="F16" s="234">
        <f>SUM(B16:E16)</f>
        <v>60892155.123999998</v>
      </c>
      <c r="G16" s="234">
        <f>SUM(G12:G15)</f>
        <v>24066000</v>
      </c>
      <c r="H16" s="307">
        <f>SUM(H12:H15)</f>
        <v>23866000</v>
      </c>
      <c r="I16" s="191"/>
    </row>
    <row r="17" spans="1:44">
      <c r="A17" s="308"/>
      <c r="B17" s="309"/>
      <c r="C17" s="309"/>
      <c r="D17" s="309"/>
      <c r="E17" s="309"/>
      <c r="F17" s="309"/>
      <c r="G17" s="309"/>
      <c r="H17" s="310"/>
      <c r="I17" s="191"/>
    </row>
    <row r="18" spans="1:44" ht="12.75" customHeight="1">
      <c r="A18" s="157" t="s">
        <v>146</v>
      </c>
      <c r="B18" s="311"/>
      <c r="C18" s="311"/>
      <c r="D18" s="311"/>
      <c r="E18" s="311"/>
      <c r="F18" s="312"/>
      <c r="G18" s="175">
        <v>7000000</v>
      </c>
      <c r="H18" s="302">
        <v>6950000</v>
      </c>
      <c r="I18" s="190">
        <f>+F18+G18+H18</f>
        <v>13950000</v>
      </c>
    </row>
    <row r="19" spans="1:44" ht="13.8" thickBot="1">
      <c r="A19" s="157" t="s">
        <v>147</v>
      </c>
      <c r="B19" s="311"/>
      <c r="C19" s="311"/>
      <c r="D19" s="311"/>
      <c r="E19" s="311"/>
      <c r="F19" s="311"/>
      <c r="G19" s="234"/>
      <c r="H19" s="302">
        <v>8000000</v>
      </c>
      <c r="I19" s="189">
        <f>+F19+G19+H19</f>
        <v>8000000</v>
      </c>
    </row>
    <row r="20" spans="1:44" ht="13.8" thickBot="1">
      <c r="A20" s="160" t="s">
        <v>17</v>
      </c>
      <c r="B20" s="158"/>
      <c r="C20" s="158"/>
      <c r="D20" s="158"/>
      <c r="E20" s="158"/>
      <c r="F20" s="158"/>
      <c r="G20" s="83">
        <f>SUM(G18:G19)</f>
        <v>7000000</v>
      </c>
      <c r="H20" s="301">
        <f>SUM(H18:H19)</f>
        <v>14950000</v>
      </c>
    </row>
    <row r="22" spans="1:44">
      <c r="A22" s="176"/>
    </row>
    <row r="23" spans="1:44">
      <c r="A23" s="171"/>
    </row>
    <row r="24" spans="1:44">
      <c r="A24" s="171"/>
    </row>
    <row r="25" spans="1:44">
      <c r="A25" s="171"/>
    </row>
    <row r="26" spans="1:44">
      <c r="A26" s="171"/>
      <c r="AR26" t="s">
        <v>70</v>
      </c>
    </row>
    <row r="27" spans="1:44">
      <c r="A27" s="171"/>
      <c r="N27" s="56"/>
    </row>
    <row r="28" spans="1:44">
      <c r="A28" s="171"/>
    </row>
    <row r="29" spans="1:44">
      <c r="A29" s="181"/>
    </row>
    <row r="31" spans="1:44">
      <c r="A31" s="180"/>
    </row>
    <row r="32" spans="1:44">
      <c r="A32" s="171"/>
    </row>
    <row r="33" spans="1:1">
      <c r="A33" s="171"/>
    </row>
    <row r="34" spans="1:1">
      <c r="A34" s="171"/>
    </row>
    <row r="35" spans="1:1">
      <c r="A35" s="171"/>
    </row>
    <row r="36" spans="1:1">
      <c r="A36" s="171"/>
    </row>
    <row r="37" spans="1:1">
      <c r="A37" s="171"/>
    </row>
    <row r="40" spans="1:1" ht="48.6" customHeight="1"/>
  </sheetData>
  <mergeCells count="6">
    <mergeCell ref="G6:H10"/>
    <mergeCell ref="A11:H11"/>
    <mergeCell ref="A17:H17"/>
    <mergeCell ref="B1:D1"/>
    <mergeCell ref="B2:D2"/>
    <mergeCell ref="B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O1" workbookViewId="0">
      <pane ySplit="5" topLeftCell="A28" activePane="bottomLeft" state="frozen"/>
      <selection activeCell="B1" sqref="B1"/>
      <selection pane="bottomLeft" activeCell="U42" sqref="U42"/>
    </sheetView>
  </sheetViews>
  <sheetFormatPr defaultRowHeight="13.2"/>
  <cols>
    <col min="1" max="4" width="9.109375" style="120"/>
    <col min="5" max="5" width="9.33203125" style="129" customWidth="1"/>
    <col min="6" max="6" width="9.5546875" style="129" customWidth="1"/>
    <col min="7" max="20" width="9.109375" style="120"/>
    <col min="21" max="21" width="10.33203125" style="120" bestFit="1" customWidth="1"/>
    <col min="22" max="22" width="9.88671875" style="120" bestFit="1" customWidth="1"/>
    <col min="23" max="23" width="11" style="120" bestFit="1" customWidth="1"/>
    <col min="24" max="24" width="11.109375" style="120" customWidth="1"/>
    <col min="25" max="261" width="9.109375" style="120"/>
    <col min="262" max="262" width="9.33203125" style="120" customWidth="1"/>
    <col min="263" max="263" width="9.5546875" style="120" customWidth="1"/>
    <col min="264" max="277" width="9.109375" style="120"/>
    <col min="278" max="278" width="9.88671875" style="120" bestFit="1" customWidth="1"/>
    <col min="279" max="279" width="11" style="120" bestFit="1" customWidth="1"/>
    <col min="280" max="517" width="9.109375" style="120"/>
    <col min="518" max="518" width="9.33203125" style="120" customWidth="1"/>
    <col min="519" max="519" width="9.5546875" style="120" customWidth="1"/>
    <col min="520" max="533" width="9.109375" style="120"/>
    <col min="534" max="534" width="9.88671875" style="120" bestFit="1" customWidth="1"/>
    <col min="535" max="535" width="11" style="120" bestFit="1" customWidth="1"/>
    <col min="536" max="773" width="9.109375" style="120"/>
    <col min="774" max="774" width="9.33203125" style="120" customWidth="1"/>
    <col min="775" max="775" width="9.5546875" style="120" customWidth="1"/>
    <col min="776" max="789" width="9.109375" style="120"/>
    <col min="790" max="790" width="9.88671875" style="120" bestFit="1" customWidth="1"/>
    <col min="791" max="791" width="11" style="120" bestFit="1" customWidth="1"/>
    <col min="792" max="1029" width="9.109375" style="120"/>
    <col min="1030" max="1030" width="9.33203125" style="120" customWidth="1"/>
    <col min="1031" max="1031" width="9.5546875" style="120" customWidth="1"/>
    <col min="1032" max="1045" width="9.109375" style="120"/>
    <col min="1046" max="1046" width="9.88671875" style="120" bestFit="1" customWidth="1"/>
    <col min="1047" max="1047" width="11" style="120" bestFit="1" customWidth="1"/>
    <col min="1048" max="1285" width="9.109375" style="120"/>
    <col min="1286" max="1286" width="9.33203125" style="120" customWidth="1"/>
    <col min="1287" max="1287" width="9.5546875" style="120" customWidth="1"/>
    <col min="1288" max="1301" width="9.109375" style="120"/>
    <col min="1302" max="1302" width="9.88671875" style="120" bestFit="1" customWidth="1"/>
    <col min="1303" max="1303" width="11" style="120" bestFit="1" customWidth="1"/>
    <col min="1304" max="1541" width="9.109375" style="120"/>
    <col min="1542" max="1542" width="9.33203125" style="120" customWidth="1"/>
    <col min="1543" max="1543" width="9.5546875" style="120" customWidth="1"/>
    <col min="1544" max="1557" width="9.109375" style="120"/>
    <col min="1558" max="1558" width="9.88671875" style="120" bestFit="1" customWidth="1"/>
    <col min="1559" max="1559" width="11" style="120" bestFit="1" customWidth="1"/>
    <col min="1560" max="1797" width="9.109375" style="120"/>
    <col min="1798" max="1798" width="9.33203125" style="120" customWidth="1"/>
    <col min="1799" max="1799" width="9.5546875" style="120" customWidth="1"/>
    <col min="1800" max="1813" width="9.109375" style="120"/>
    <col min="1814" max="1814" width="9.88671875" style="120" bestFit="1" customWidth="1"/>
    <col min="1815" max="1815" width="11" style="120" bestFit="1" customWidth="1"/>
    <col min="1816" max="2053" width="9.109375" style="120"/>
    <col min="2054" max="2054" width="9.33203125" style="120" customWidth="1"/>
    <col min="2055" max="2055" width="9.5546875" style="120" customWidth="1"/>
    <col min="2056" max="2069" width="9.109375" style="120"/>
    <col min="2070" max="2070" width="9.88671875" style="120" bestFit="1" customWidth="1"/>
    <col min="2071" max="2071" width="11" style="120" bestFit="1" customWidth="1"/>
    <col min="2072" max="2309" width="9.109375" style="120"/>
    <col min="2310" max="2310" width="9.33203125" style="120" customWidth="1"/>
    <col min="2311" max="2311" width="9.5546875" style="120" customWidth="1"/>
    <col min="2312" max="2325" width="9.109375" style="120"/>
    <col min="2326" max="2326" width="9.88671875" style="120" bestFit="1" customWidth="1"/>
    <col min="2327" max="2327" width="11" style="120" bestFit="1" customWidth="1"/>
    <col min="2328" max="2565" width="9.109375" style="120"/>
    <col min="2566" max="2566" width="9.33203125" style="120" customWidth="1"/>
    <col min="2567" max="2567" width="9.5546875" style="120" customWidth="1"/>
    <col min="2568" max="2581" width="9.109375" style="120"/>
    <col min="2582" max="2582" width="9.88671875" style="120" bestFit="1" customWidth="1"/>
    <col min="2583" max="2583" width="11" style="120" bestFit="1" customWidth="1"/>
    <col min="2584" max="2821" width="9.109375" style="120"/>
    <col min="2822" max="2822" width="9.33203125" style="120" customWidth="1"/>
    <col min="2823" max="2823" width="9.5546875" style="120" customWidth="1"/>
    <col min="2824" max="2837" width="9.109375" style="120"/>
    <col min="2838" max="2838" width="9.88671875" style="120" bestFit="1" customWidth="1"/>
    <col min="2839" max="2839" width="11" style="120" bestFit="1" customWidth="1"/>
    <col min="2840" max="3077" width="9.109375" style="120"/>
    <col min="3078" max="3078" width="9.33203125" style="120" customWidth="1"/>
    <col min="3079" max="3079" width="9.5546875" style="120" customWidth="1"/>
    <col min="3080" max="3093" width="9.109375" style="120"/>
    <col min="3094" max="3094" width="9.88671875" style="120" bestFit="1" customWidth="1"/>
    <col min="3095" max="3095" width="11" style="120" bestFit="1" customWidth="1"/>
    <col min="3096" max="3333" width="9.109375" style="120"/>
    <col min="3334" max="3334" width="9.33203125" style="120" customWidth="1"/>
    <col min="3335" max="3335" width="9.5546875" style="120" customWidth="1"/>
    <col min="3336" max="3349" width="9.109375" style="120"/>
    <col min="3350" max="3350" width="9.88671875" style="120" bestFit="1" customWidth="1"/>
    <col min="3351" max="3351" width="11" style="120" bestFit="1" customWidth="1"/>
    <col min="3352" max="3589" width="9.109375" style="120"/>
    <col min="3590" max="3590" width="9.33203125" style="120" customWidth="1"/>
    <col min="3591" max="3591" width="9.5546875" style="120" customWidth="1"/>
    <col min="3592" max="3605" width="9.109375" style="120"/>
    <col min="3606" max="3606" width="9.88671875" style="120" bestFit="1" customWidth="1"/>
    <col min="3607" max="3607" width="11" style="120" bestFit="1" customWidth="1"/>
    <col min="3608" max="3845" width="9.109375" style="120"/>
    <col min="3846" max="3846" width="9.33203125" style="120" customWidth="1"/>
    <col min="3847" max="3847" width="9.5546875" style="120" customWidth="1"/>
    <col min="3848" max="3861" width="9.109375" style="120"/>
    <col min="3862" max="3862" width="9.88671875" style="120" bestFit="1" customWidth="1"/>
    <col min="3863" max="3863" width="11" style="120" bestFit="1" customWidth="1"/>
    <col min="3864" max="4101" width="9.109375" style="120"/>
    <col min="4102" max="4102" width="9.33203125" style="120" customWidth="1"/>
    <col min="4103" max="4103" width="9.5546875" style="120" customWidth="1"/>
    <col min="4104" max="4117" width="9.109375" style="120"/>
    <col min="4118" max="4118" width="9.88671875" style="120" bestFit="1" customWidth="1"/>
    <col min="4119" max="4119" width="11" style="120" bestFit="1" customWidth="1"/>
    <col min="4120" max="4357" width="9.109375" style="120"/>
    <col min="4358" max="4358" width="9.33203125" style="120" customWidth="1"/>
    <col min="4359" max="4359" width="9.5546875" style="120" customWidth="1"/>
    <col min="4360" max="4373" width="9.109375" style="120"/>
    <col min="4374" max="4374" width="9.88671875" style="120" bestFit="1" customWidth="1"/>
    <col min="4375" max="4375" width="11" style="120" bestFit="1" customWidth="1"/>
    <col min="4376" max="4613" width="9.109375" style="120"/>
    <col min="4614" max="4614" width="9.33203125" style="120" customWidth="1"/>
    <col min="4615" max="4615" width="9.5546875" style="120" customWidth="1"/>
    <col min="4616" max="4629" width="9.109375" style="120"/>
    <col min="4630" max="4630" width="9.88671875" style="120" bestFit="1" customWidth="1"/>
    <col min="4631" max="4631" width="11" style="120" bestFit="1" customWidth="1"/>
    <col min="4632" max="4869" width="9.109375" style="120"/>
    <col min="4870" max="4870" width="9.33203125" style="120" customWidth="1"/>
    <col min="4871" max="4871" width="9.5546875" style="120" customWidth="1"/>
    <col min="4872" max="4885" width="9.109375" style="120"/>
    <col min="4886" max="4886" width="9.88671875" style="120" bestFit="1" customWidth="1"/>
    <col min="4887" max="4887" width="11" style="120" bestFit="1" customWidth="1"/>
    <col min="4888" max="5125" width="9.109375" style="120"/>
    <col min="5126" max="5126" width="9.33203125" style="120" customWidth="1"/>
    <col min="5127" max="5127" width="9.5546875" style="120" customWidth="1"/>
    <col min="5128" max="5141" width="9.109375" style="120"/>
    <col min="5142" max="5142" width="9.88671875" style="120" bestFit="1" customWidth="1"/>
    <col min="5143" max="5143" width="11" style="120" bestFit="1" customWidth="1"/>
    <col min="5144" max="5381" width="9.109375" style="120"/>
    <col min="5382" max="5382" width="9.33203125" style="120" customWidth="1"/>
    <col min="5383" max="5383" width="9.5546875" style="120" customWidth="1"/>
    <col min="5384" max="5397" width="9.109375" style="120"/>
    <col min="5398" max="5398" width="9.88671875" style="120" bestFit="1" customWidth="1"/>
    <col min="5399" max="5399" width="11" style="120" bestFit="1" customWidth="1"/>
    <col min="5400" max="5637" width="9.109375" style="120"/>
    <col min="5638" max="5638" width="9.33203125" style="120" customWidth="1"/>
    <col min="5639" max="5639" width="9.5546875" style="120" customWidth="1"/>
    <col min="5640" max="5653" width="9.109375" style="120"/>
    <col min="5654" max="5654" width="9.88671875" style="120" bestFit="1" customWidth="1"/>
    <col min="5655" max="5655" width="11" style="120" bestFit="1" customWidth="1"/>
    <col min="5656" max="5893" width="9.109375" style="120"/>
    <col min="5894" max="5894" width="9.33203125" style="120" customWidth="1"/>
    <col min="5895" max="5895" width="9.5546875" style="120" customWidth="1"/>
    <col min="5896" max="5909" width="9.109375" style="120"/>
    <col min="5910" max="5910" width="9.88671875" style="120" bestFit="1" customWidth="1"/>
    <col min="5911" max="5911" width="11" style="120" bestFit="1" customWidth="1"/>
    <col min="5912" max="6149" width="9.109375" style="120"/>
    <col min="6150" max="6150" width="9.33203125" style="120" customWidth="1"/>
    <col min="6151" max="6151" width="9.5546875" style="120" customWidth="1"/>
    <col min="6152" max="6165" width="9.109375" style="120"/>
    <col min="6166" max="6166" width="9.88671875" style="120" bestFit="1" customWidth="1"/>
    <col min="6167" max="6167" width="11" style="120" bestFit="1" customWidth="1"/>
    <col min="6168" max="6405" width="9.109375" style="120"/>
    <col min="6406" max="6406" width="9.33203125" style="120" customWidth="1"/>
    <col min="6407" max="6407" width="9.5546875" style="120" customWidth="1"/>
    <col min="6408" max="6421" width="9.109375" style="120"/>
    <col min="6422" max="6422" width="9.88671875" style="120" bestFit="1" customWidth="1"/>
    <col min="6423" max="6423" width="11" style="120" bestFit="1" customWidth="1"/>
    <col min="6424" max="6661" width="9.109375" style="120"/>
    <col min="6662" max="6662" width="9.33203125" style="120" customWidth="1"/>
    <col min="6663" max="6663" width="9.5546875" style="120" customWidth="1"/>
    <col min="6664" max="6677" width="9.109375" style="120"/>
    <col min="6678" max="6678" width="9.88671875" style="120" bestFit="1" customWidth="1"/>
    <col min="6679" max="6679" width="11" style="120" bestFit="1" customWidth="1"/>
    <col min="6680" max="6917" width="9.109375" style="120"/>
    <col min="6918" max="6918" width="9.33203125" style="120" customWidth="1"/>
    <col min="6919" max="6919" width="9.5546875" style="120" customWidth="1"/>
    <col min="6920" max="6933" width="9.109375" style="120"/>
    <col min="6934" max="6934" width="9.88671875" style="120" bestFit="1" customWidth="1"/>
    <col min="6935" max="6935" width="11" style="120" bestFit="1" customWidth="1"/>
    <col min="6936" max="7173" width="9.109375" style="120"/>
    <col min="7174" max="7174" width="9.33203125" style="120" customWidth="1"/>
    <col min="7175" max="7175" width="9.5546875" style="120" customWidth="1"/>
    <col min="7176" max="7189" width="9.109375" style="120"/>
    <col min="7190" max="7190" width="9.88671875" style="120" bestFit="1" customWidth="1"/>
    <col min="7191" max="7191" width="11" style="120" bestFit="1" customWidth="1"/>
    <col min="7192" max="7429" width="9.109375" style="120"/>
    <col min="7430" max="7430" width="9.33203125" style="120" customWidth="1"/>
    <col min="7431" max="7431" width="9.5546875" style="120" customWidth="1"/>
    <col min="7432" max="7445" width="9.109375" style="120"/>
    <col min="7446" max="7446" width="9.88671875" style="120" bestFit="1" customWidth="1"/>
    <col min="7447" max="7447" width="11" style="120" bestFit="1" customWidth="1"/>
    <col min="7448" max="7685" width="9.109375" style="120"/>
    <col min="7686" max="7686" width="9.33203125" style="120" customWidth="1"/>
    <col min="7687" max="7687" width="9.5546875" style="120" customWidth="1"/>
    <col min="7688" max="7701" width="9.109375" style="120"/>
    <col min="7702" max="7702" width="9.88671875" style="120" bestFit="1" customWidth="1"/>
    <col min="7703" max="7703" width="11" style="120" bestFit="1" customWidth="1"/>
    <col min="7704" max="7941" width="9.109375" style="120"/>
    <col min="7942" max="7942" width="9.33203125" style="120" customWidth="1"/>
    <col min="7943" max="7943" width="9.5546875" style="120" customWidth="1"/>
    <col min="7944" max="7957" width="9.109375" style="120"/>
    <col min="7958" max="7958" width="9.88671875" style="120" bestFit="1" customWidth="1"/>
    <col min="7959" max="7959" width="11" style="120" bestFit="1" customWidth="1"/>
    <col min="7960" max="8197" width="9.109375" style="120"/>
    <col min="8198" max="8198" width="9.33203125" style="120" customWidth="1"/>
    <col min="8199" max="8199" width="9.5546875" style="120" customWidth="1"/>
    <col min="8200" max="8213" width="9.109375" style="120"/>
    <col min="8214" max="8214" width="9.88671875" style="120" bestFit="1" customWidth="1"/>
    <col min="8215" max="8215" width="11" style="120" bestFit="1" customWidth="1"/>
    <col min="8216" max="8453" width="9.109375" style="120"/>
    <col min="8454" max="8454" width="9.33203125" style="120" customWidth="1"/>
    <col min="8455" max="8455" width="9.5546875" style="120" customWidth="1"/>
    <col min="8456" max="8469" width="9.109375" style="120"/>
    <col min="8470" max="8470" width="9.88671875" style="120" bestFit="1" customWidth="1"/>
    <col min="8471" max="8471" width="11" style="120" bestFit="1" customWidth="1"/>
    <col min="8472" max="8709" width="9.109375" style="120"/>
    <col min="8710" max="8710" width="9.33203125" style="120" customWidth="1"/>
    <col min="8711" max="8711" width="9.5546875" style="120" customWidth="1"/>
    <col min="8712" max="8725" width="9.109375" style="120"/>
    <col min="8726" max="8726" width="9.88671875" style="120" bestFit="1" customWidth="1"/>
    <col min="8727" max="8727" width="11" style="120" bestFit="1" customWidth="1"/>
    <col min="8728" max="8965" width="9.109375" style="120"/>
    <col min="8966" max="8966" width="9.33203125" style="120" customWidth="1"/>
    <col min="8967" max="8967" width="9.5546875" style="120" customWidth="1"/>
    <col min="8968" max="8981" width="9.109375" style="120"/>
    <col min="8982" max="8982" width="9.88671875" style="120" bestFit="1" customWidth="1"/>
    <col min="8983" max="8983" width="11" style="120" bestFit="1" customWidth="1"/>
    <col min="8984" max="9221" width="9.109375" style="120"/>
    <col min="9222" max="9222" width="9.33203125" style="120" customWidth="1"/>
    <col min="9223" max="9223" width="9.5546875" style="120" customWidth="1"/>
    <col min="9224" max="9237" width="9.109375" style="120"/>
    <col min="9238" max="9238" width="9.88671875" style="120" bestFit="1" customWidth="1"/>
    <col min="9239" max="9239" width="11" style="120" bestFit="1" customWidth="1"/>
    <col min="9240" max="9477" width="9.109375" style="120"/>
    <col min="9478" max="9478" width="9.33203125" style="120" customWidth="1"/>
    <col min="9479" max="9479" width="9.5546875" style="120" customWidth="1"/>
    <col min="9480" max="9493" width="9.109375" style="120"/>
    <col min="9494" max="9494" width="9.88671875" style="120" bestFit="1" customWidth="1"/>
    <col min="9495" max="9495" width="11" style="120" bestFit="1" customWidth="1"/>
    <col min="9496" max="9733" width="9.109375" style="120"/>
    <col min="9734" max="9734" width="9.33203125" style="120" customWidth="1"/>
    <col min="9735" max="9735" width="9.5546875" style="120" customWidth="1"/>
    <col min="9736" max="9749" width="9.109375" style="120"/>
    <col min="9750" max="9750" width="9.88671875" style="120" bestFit="1" customWidth="1"/>
    <col min="9751" max="9751" width="11" style="120" bestFit="1" customWidth="1"/>
    <col min="9752" max="9989" width="9.109375" style="120"/>
    <col min="9990" max="9990" width="9.33203125" style="120" customWidth="1"/>
    <col min="9991" max="9991" width="9.5546875" style="120" customWidth="1"/>
    <col min="9992" max="10005" width="9.109375" style="120"/>
    <col min="10006" max="10006" width="9.88671875" style="120" bestFit="1" customWidth="1"/>
    <col min="10007" max="10007" width="11" style="120" bestFit="1" customWidth="1"/>
    <col min="10008" max="10245" width="9.109375" style="120"/>
    <col min="10246" max="10246" width="9.33203125" style="120" customWidth="1"/>
    <col min="10247" max="10247" width="9.5546875" style="120" customWidth="1"/>
    <col min="10248" max="10261" width="9.109375" style="120"/>
    <col min="10262" max="10262" width="9.88671875" style="120" bestFit="1" customWidth="1"/>
    <col min="10263" max="10263" width="11" style="120" bestFit="1" customWidth="1"/>
    <col min="10264" max="10501" width="9.109375" style="120"/>
    <col min="10502" max="10502" width="9.33203125" style="120" customWidth="1"/>
    <col min="10503" max="10503" width="9.5546875" style="120" customWidth="1"/>
    <col min="10504" max="10517" width="9.109375" style="120"/>
    <col min="10518" max="10518" width="9.88671875" style="120" bestFit="1" customWidth="1"/>
    <col min="10519" max="10519" width="11" style="120" bestFit="1" customWidth="1"/>
    <col min="10520" max="10757" width="9.109375" style="120"/>
    <col min="10758" max="10758" width="9.33203125" style="120" customWidth="1"/>
    <col min="10759" max="10759" width="9.5546875" style="120" customWidth="1"/>
    <col min="10760" max="10773" width="9.109375" style="120"/>
    <col min="10774" max="10774" width="9.88671875" style="120" bestFit="1" customWidth="1"/>
    <col min="10775" max="10775" width="11" style="120" bestFit="1" customWidth="1"/>
    <col min="10776" max="11013" width="9.109375" style="120"/>
    <col min="11014" max="11014" width="9.33203125" style="120" customWidth="1"/>
    <col min="11015" max="11015" width="9.5546875" style="120" customWidth="1"/>
    <col min="11016" max="11029" width="9.109375" style="120"/>
    <col min="11030" max="11030" width="9.88671875" style="120" bestFit="1" customWidth="1"/>
    <col min="11031" max="11031" width="11" style="120" bestFit="1" customWidth="1"/>
    <col min="11032" max="11269" width="9.109375" style="120"/>
    <col min="11270" max="11270" width="9.33203125" style="120" customWidth="1"/>
    <col min="11271" max="11271" width="9.5546875" style="120" customWidth="1"/>
    <col min="11272" max="11285" width="9.109375" style="120"/>
    <col min="11286" max="11286" width="9.88671875" style="120" bestFit="1" customWidth="1"/>
    <col min="11287" max="11287" width="11" style="120" bestFit="1" customWidth="1"/>
    <col min="11288" max="11525" width="9.109375" style="120"/>
    <col min="11526" max="11526" width="9.33203125" style="120" customWidth="1"/>
    <col min="11527" max="11527" width="9.5546875" style="120" customWidth="1"/>
    <col min="11528" max="11541" width="9.109375" style="120"/>
    <col min="11542" max="11542" width="9.88671875" style="120" bestFit="1" customWidth="1"/>
    <col min="11543" max="11543" width="11" style="120" bestFit="1" customWidth="1"/>
    <col min="11544" max="11781" width="9.109375" style="120"/>
    <col min="11782" max="11782" width="9.33203125" style="120" customWidth="1"/>
    <col min="11783" max="11783" width="9.5546875" style="120" customWidth="1"/>
    <col min="11784" max="11797" width="9.109375" style="120"/>
    <col min="11798" max="11798" width="9.88671875" style="120" bestFit="1" customWidth="1"/>
    <col min="11799" max="11799" width="11" style="120" bestFit="1" customWidth="1"/>
    <col min="11800" max="12037" width="9.109375" style="120"/>
    <col min="12038" max="12038" width="9.33203125" style="120" customWidth="1"/>
    <col min="12039" max="12039" width="9.5546875" style="120" customWidth="1"/>
    <col min="12040" max="12053" width="9.109375" style="120"/>
    <col min="12054" max="12054" width="9.88671875" style="120" bestFit="1" customWidth="1"/>
    <col min="12055" max="12055" width="11" style="120" bestFit="1" customWidth="1"/>
    <col min="12056" max="12293" width="9.109375" style="120"/>
    <col min="12294" max="12294" width="9.33203125" style="120" customWidth="1"/>
    <col min="12295" max="12295" width="9.5546875" style="120" customWidth="1"/>
    <col min="12296" max="12309" width="9.109375" style="120"/>
    <col min="12310" max="12310" width="9.88671875" style="120" bestFit="1" customWidth="1"/>
    <col min="12311" max="12311" width="11" style="120" bestFit="1" customWidth="1"/>
    <col min="12312" max="12549" width="9.109375" style="120"/>
    <col min="12550" max="12550" width="9.33203125" style="120" customWidth="1"/>
    <col min="12551" max="12551" width="9.5546875" style="120" customWidth="1"/>
    <col min="12552" max="12565" width="9.109375" style="120"/>
    <col min="12566" max="12566" width="9.88671875" style="120" bestFit="1" customWidth="1"/>
    <col min="12567" max="12567" width="11" style="120" bestFit="1" customWidth="1"/>
    <col min="12568" max="12805" width="9.109375" style="120"/>
    <col min="12806" max="12806" width="9.33203125" style="120" customWidth="1"/>
    <col min="12807" max="12807" width="9.5546875" style="120" customWidth="1"/>
    <col min="12808" max="12821" width="9.109375" style="120"/>
    <col min="12822" max="12822" width="9.88671875" style="120" bestFit="1" customWidth="1"/>
    <col min="12823" max="12823" width="11" style="120" bestFit="1" customWidth="1"/>
    <col min="12824" max="13061" width="9.109375" style="120"/>
    <col min="13062" max="13062" width="9.33203125" style="120" customWidth="1"/>
    <col min="13063" max="13063" width="9.5546875" style="120" customWidth="1"/>
    <col min="13064" max="13077" width="9.109375" style="120"/>
    <col min="13078" max="13078" width="9.88671875" style="120" bestFit="1" customWidth="1"/>
    <col min="13079" max="13079" width="11" style="120" bestFit="1" customWidth="1"/>
    <col min="13080" max="13317" width="9.109375" style="120"/>
    <col min="13318" max="13318" width="9.33203125" style="120" customWidth="1"/>
    <col min="13319" max="13319" width="9.5546875" style="120" customWidth="1"/>
    <col min="13320" max="13333" width="9.109375" style="120"/>
    <col min="13334" max="13334" width="9.88671875" style="120" bestFit="1" customWidth="1"/>
    <col min="13335" max="13335" width="11" style="120" bestFit="1" customWidth="1"/>
    <col min="13336" max="13573" width="9.109375" style="120"/>
    <col min="13574" max="13574" width="9.33203125" style="120" customWidth="1"/>
    <col min="13575" max="13575" width="9.5546875" style="120" customWidth="1"/>
    <col min="13576" max="13589" width="9.109375" style="120"/>
    <col min="13590" max="13590" width="9.88671875" style="120" bestFit="1" customWidth="1"/>
    <col min="13591" max="13591" width="11" style="120" bestFit="1" customWidth="1"/>
    <col min="13592" max="13829" width="9.109375" style="120"/>
    <col min="13830" max="13830" width="9.33203125" style="120" customWidth="1"/>
    <col min="13831" max="13831" width="9.5546875" style="120" customWidth="1"/>
    <col min="13832" max="13845" width="9.109375" style="120"/>
    <col min="13846" max="13846" width="9.88671875" style="120" bestFit="1" customWidth="1"/>
    <col min="13847" max="13847" width="11" style="120" bestFit="1" customWidth="1"/>
    <col min="13848" max="14085" width="9.109375" style="120"/>
    <col min="14086" max="14086" width="9.33203125" style="120" customWidth="1"/>
    <col min="14087" max="14087" width="9.5546875" style="120" customWidth="1"/>
    <col min="14088" max="14101" width="9.109375" style="120"/>
    <col min="14102" max="14102" width="9.88671875" style="120" bestFit="1" customWidth="1"/>
    <col min="14103" max="14103" width="11" style="120" bestFit="1" customWidth="1"/>
    <col min="14104" max="14341" width="9.109375" style="120"/>
    <col min="14342" max="14342" width="9.33203125" style="120" customWidth="1"/>
    <col min="14343" max="14343" width="9.5546875" style="120" customWidth="1"/>
    <col min="14344" max="14357" width="9.109375" style="120"/>
    <col min="14358" max="14358" width="9.88671875" style="120" bestFit="1" customWidth="1"/>
    <col min="14359" max="14359" width="11" style="120" bestFit="1" customWidth="1"/>
    <col min="14360" max="14597" width="9.109375" style="120"/>
    <col min="14598" max="14598" width="9.33203125" style="120" customWidth="1"/>
    <col min="14599" max="14599" width="9.5546875" style="120" customWidth="1"/>
    <col min="14600" max="14613" width="9.109375" style="120"/>
    <col min="14614" max="14614" width="9.88671875" style="120" bestFit="1" customWidth="1"/>
    <col min="14615" max="14615" width="11" style="120" bestFit="1" customWidth="1"/>
    <col min="14616" max="14853" width="9.109375" style="120"/>
    <col min="14854" max="14854" width="9.33203125" style="120" customWidth="1"/>
    <col min="14855" max="14855" width="9.5546875" style="120" customWidth="1"/>
    <col min="14856" max="14869" width="9.109375" style="120"/>
    <col min="14870" max="14870" width="9.88671875" style="120" bestFit="1" customWidth="1"/>
    <col min="14871" max="14871" width="11" style="120" bestFit="1" customWidth="1"/>
    <col min="14872" max="15109" width="9.109375" style="120"/>
    <col min="15110" max="15110" width="9.33203125" style="120" customWidth="1"/>
    <col min="15111" max="15111" width="9.5546875" style="120" customWidth="1"/>
    <col min="15112" max="15125" width="9.109375" style="120"/>
    <col min="15126" max="15126" width="9.88671875" style="120" bestFit="1" customWidth="1"/>
    <col min="15127" max="15127" width="11" style="120" bestFit="1" customWidth="1"/>
    <col min="15128" max="15365" width="9.109375" style="120"/>
    <col min="15366" max="15366" width="9.33203125" style="120" customWidth="1"/>
    <col min="15367" max="15367" width="9.5546875" style="120" customWidth="1"/>
    <col min="15368" max="15381" width="9.109375" style="120"/>
    <col min="15382" max="15382" width="9.88671875" style="120" bestFit="1" customWidth="1"/>
    <col min="15383" max="15383" width="11" style="120" bestFit="1" customWidth="1"/>
    <col min="15384" max="15621" width="9.109375" style="120"/>
    <col min="15622" max="15622" width="9.33203125" style="120" customWidth="1"/>
    <col min="15623" max="15623" width="9.5546875" style="120" customWidth="1"/>
    <col min="15624" max="15637" width="9.109375" style="120"/>
    <col min="15638" max="15638" width="9.88671875" style="120" bestFit="1" customWidth="1"/>
    <col min="15639" max="15639" width="11" style="120" bestFit="1" customWidth="1"/>
    <col min="15640" max="15877" width="9.109375" style="120"/>
    <col min="15878" max="15878" width="9.33203125" style="120" customWidth="1"/>
    <col min="15879" max="15879" width="9.5546875" style="120" customWidth="1"/>
    <col min="15880" max="15893" width="9.109375" style="120"/>
    <col min="15894" max="15894" width="9.88671875" style="120" bestFit="1" customWidth="1"/>
    <col min="15895" max="15895" width="11" style="120" bestFit="1" customWidth="1"/>
    <col min="15896" max="16133" width="9.109375" style="120"/>
    <col min="16134" max="16134" width="9.33203125" style="120" customWidth="1"/>
    <col min="16135" max="16135" width="9.5546875" style="120" customWidth="1"/>
    <col min="16136" max="16149" width="9.109375" style="120"/>
    <col min="16150" max="16150" width="9.88671875" style="120" bestFit="1" customWidth="1"/>
    <col min="16151" max="16151" width="11" style="120" bestFit="1" customWidth="1"/>
    <col min="16152" max="16384" width="9.109375" style="120"/>
  </cols>
  <sheetData>
    <row r="1" spans="1:25">
      <c r="A1" s="127" t="s">
        <v>107</v>
      </c>
      <c r="D1" s="243"/>
      <c r="E1" s="243"/>
      <c r="F1" s="127"/>
      <c r="G1" s="127"/>
      <c r="H1" s="127"/>
      <c r="I1" s="127"/>
    </row>
    <row r="2" spans="1:25">
      <c r="A2" s="128"/>
      <c r="E2" s="313"/>
      <c r="F2" s="313"/>
      <c r="G2" s="314"/>
      <c r="H2" s="314"/>
      <c r="I2" s="314"/>
      <c r="J2" s="314"/>
      <c r="K2" s="315"/>
      <c r="L2" s="315"/>
      <c r="M2" s="315"/>
      <c r="N2" s="315"/>
      <c r="O2" s="315"/>
      <c r="P2" s="315"/>
      <c r="Q2" s="315"/>
      <c r="R2" s="315"/>
    </row>
    <row r="3" spans="1:25">
      <c r="A3" s="130" t="s">
        <v>108</v>
      </c>
      <c r="B3" s="130"/>
      <c r="C3" s="130"/>
      <c r="D3" s="130"/>
      <c r="E3" s="131"/>
      <c r="F3" s="131"/>
    </row>
    <row r="4" spans="1:25">
      <c r="A4" s="132"/>
      <c r="B4" s="132"/>
      <c r="C4" s="132"/>
      <c r="D4" s="132"/>
      <c r="E4" s="133"/>
      <c r="F4" s="133"/>
    </row>
    <row r="5" spans="1:25">
      <c r="A5" s="134" t="s">
        <v>109</v>
      </c>
      <c r="B5" s="134">
        <v>1995</v>
      </c>
      <c r="C5" s="134">
        <v>1996</v>
      </c>
      <c r="D5" s="134">
        <v>1997</v>
      </c>
      <c r="E5" s="134">
        <v>1998</v>
      </c>
      <c r="F5" s="134">
        <v>1999</v>
      </c>
      <c r="G5" s="134">
        <v>2000</v>
      </c>
      <c r="H5" s="134">
        <v>2001</v>
      </c>
      <c r="I5" s="134">
        <v>2002</v>
      </c>
      <c r="J5" s="134">
        <v>2003</v>
      </c>
      <c r="K5" s="134">
        <v>2004</v>
      </c>
      <c r="L5" s="134">
        <v>2005</v>
      </c>
      <c r="M5" s="134">
        <v>2006</v>
      </c>
      <c r="N5" s="134">
        <v>2007</v>
      </c>
      <c r="O5" s="134">
        <v>2008</v>
      </c>
      <c r="P5" s="134">
        <v>2009</v>
      </c>
      <c r="Q5" s="134">
        <v>2010</v>
      </c>
      <c r="R5" s="134">
        <v>2011</v>
      </c>
      <c r="S5" s="134">
        <v>2012</v>
      </c>
      <c r="T5" s="134">
        <v>2013</v>
      </c>
      <c r="U5" s="134">
        <v>2014</v>
      </c>
      <c r="V5" s="316" t="s">
        <v>110</v>
      </c>
      <c r="W5" s="316" t="s">
        <v>111</v>
      </c>
      <c r="X5" s="316" t="s">
        <v>125</v>
      </c>
      <c r="Y5" s="316" t="s">
        <v>126</v>
      </c>
    </row>
    <row r="6" spans="1:25">
      <c r="A6" s="132"/>
      <c r="B6" s="132"/>
      <c r="C6" s="132"/>
      <c r="D6" s="132"/>
      <c r="E6" s="131"/>
      <c r="F6" s="131"/>
      <c r="V6" s="137"/>
      <c r="W6" s="137"/>
      <c r="X6" s="137"/>
      <c r="Y6" s="137"/>
    </row>
    <row r="7" spans="1:25">
      <c r="A7" s="135"/>
      <c r="B7" s="135"/>
      <c r="C7" s="135"/>
      <c r="D7" s="135"/>
      <c r="E7" s="131"/>
      <c r="F7" s="131"/>
      <c r="G7" s="131"/>
      <c r="H7" s="131"/>
      <c r="V7" s="137"/>
      <c r="W7" s="137"/>
      <c r="X7" s="137"/>
      <c r="Y7" s="137"/>
    </row>
    <row r="8" spans="1:25">
      <c r="A8" s="135" t="s">
        <v>112</v>
      </c>
      <c r="B8" s="136">
        <v>667.5</v>
      </c>
      <c r="C8" s="136">
        <v>789.4</v>
      </c>
      <c r="D8" s="136">
        <v>777.9</v>
      </c>
      <c r="E8" s="136">
        <v>652.79999999999995</v>
      </c>
      <c r="F8" s="136">
        <v>789.6</v>
      </c>
      <c r="G8" s="136">
        <v>773</v>
      </c>
      <c r="H8" s="136">
        <v>715</v>
      </c>
      <c r="I8" s="136">
        <v>625.70000000000005</v>
      </c>
      <c r="J8" s="136">
        <v>868.4</v>
      </c>
      <c r="K8" s="136">
        <v>879.2</v>
      </c>
      <c r="L8" s="136">
        <v>814.7</v>
      </c>
      <c r="M8" s="136">
        <v>590.6</v>
      </c>
      <c r="N8" s="136">
        <v>698.3</v>
      </c>
      <c r="O8" s="136">
        <v>676.8</v>
      </c>
      <c r="P8" s="136">
        <v>891.8</v>
      </c>
      <c r="Q8" s="136">
        <v>721.1</v>
      </c>
      <c r="R8" s="136">
        <v>822</v>
      </c>
      <c r="S8" s="136">
        <v>657.3</v>
      </c>
      <c r="T8" s="136">
        <v>681.3</v>
      </c>
      <c r="U8" s="136">
        <v>865.9</v>
      </c>
      <c r="V8" s="317">
        <f>AVERAGE(L8:U8)</f>
        <v>741.98000000000013</v>
      </c>
      <c r="W8" s="318">
        <f>TREND(B8:U8,$B$25:$U$25,2014)</f>
        <v>761.02857142857147</v>
      </c>
      <c r="X8" s="317">
        <f>AVERAGE(B8:U8)</f>
        <v>747.91499999999985</v>
      </c>
      <c r="Y8" s="318">
        <f>AVERAGE(E8:U8)</f>
        <v>748.44117647058818</v>
      </c>
    </row>
    <row r="9" spans="1:25">
      <c r="A9" s="135" t="s">
        <v>113</v>
      </c>
      <c r="B9" s="136">
        <v>735.3</v>
      </c>
      <c r="C9" s="136">
        <v>712.6</v>
      </c>
      <c r="D9" s="136">
        <v>615</v>
      </c>
      <c r="E9" s="136">
        <v>547.1</v>
      </c>
      <c r="F9" s="136">
        <v>578.4</v>
      </c>
      <c r="G9" s="136">
        <v>643.79999999999995</v>
      </c>
      <c r="H9" s="136">
        <v>620.20000000000005</v>
      </c>
      <c r="I9" s="136">
        <v>592</v>
      </c>
      <c r="J9" s="136">
        <v>755.9</v>
      </c>
      <c r="K9" s="136">
        <v>699.2</v>
      </c>
      <c r="L9" s="136">
        <v>683.5</v>
      </c>
      <c r="M9" s="136">
        <v>651.20000000000005</v>
      </c>
      <c r="N9" s="136">
        <v>785.1</v>
      </c>
      <c r="O9" s="136">
        <v>651.20000000000005</v>
      </c>
      <c r="P9" s="136">
        <v>649.6</v>
      </c>
      <c r="Q9" s="136">
        <v>644.70000000000005</v>
      </c>
      <c r="R9" s="136">
        <v>689.3</v>
      </c>
      <c r="S9" s="136">
        <v>573</v>
      </c>
      <c r="T9" s="136">
        <v>697.9</v>
      </c>
      <c r="U9" s="136">
        <v>831.2</v>
      </c>
      <c r="V9" s="317">
        <f t="shared" ref="V9:V19" si="0">AVERAGE(L9:U9)</f>
        <v>685.67</v>
      </c>
      <c r="W9" s="318">
        <f t="shared" ref="W9:W19" si="1">TREND(B9:U9,$B$25:$U$25,2014)</f>
        <v>699.41714285714352</v>
      </c>
      <c r="X9" s="317">
        <f t="shared" ref="X9:X19" si="2">AVERAGE(B9:U9)</f>
        <v>667.81000000000006</v>
      </c>
      <c r="Y9" s="318">
        <f t="shared" ref="Y9:Y19" si="3">AVERAGE(E9:U9)</f>
        <v>664.31176470588241</v>
      </c>
    </row>
    <row r="10" spans="1:25">
      <c r="A10" s="135" t="s">
        <v>114</v>
      </c>
      <c r="B10" s="136">
        <v>523.70000000000005</v>
      </c>
      <c r="C10" s="136">
        <v>670.4</v>
      </c>
      <c r="D10" s="136">
        <v>619.1</v>
      </c>
      <c r="E10" s="136">
        <v>505.1</v>
      </c>
      <c r="F10" s="136">
        <v>592.5</v>
      </c>
      <c r="G10" s="136">
        <v>446.9</v>
      </c>
      <c r="H10" s="136">
        <v>618.70000000000005</v>
      </c>
      <c r="I10" s="136">
        <v>581.20000000000005</v>
      </c>
      <c r="J10" s="136">
        <v>638.70000000000005</v>
      </c>
      <c r="K10" s="136">
        <v>540.9</v>
      </c>
      <c r="L10" s="136">
        <v>680.5</v>
      </c>
      <c r="M10" s="136">
        <v>562.4</v>
      </c>
      <c r="N10" s="136">
        <v>582</v>
      </c>
      <c r="O10" s="136">
        <v>686.1</v>
      </c>
      <c r="P10" s="136">
        <v>562.6</v>
      </c>
      <c r="Q10" s="136">
        <v>470.9</v>
      </c>
      <c r="R10" s="136">
        <v>622.29999999999995</v>
      </c>
      <c r="S10" s="136">
        <v>370.1</v>
      </c>
      <c r="T10" s="136">
        <v>612</v>
      </c>
      <c r="U10" s="136">
        <v>757</v>
      </c>
      <c r="V10" s="317">
        <f t="shared" si="0"/>
        <v>590.59</v>
      </c>
      <c r="W10" s="318">
        <f t="shared" si="1"/>
        <v>591.57428571428568</v>
      </c>
      <c r="X10" s="317">
        <f t="shared" si="2"/>
        <v>582.15499999999997</v>
      </c>
      <c r="Y10" s="318">
        <f t="shared" si="3"/>
        <v>578.2294117647059</v>
      </c>
    </row>
    <row r="11" spans="1:25">
      <c r="A11" s="135" t="s">
        <v>115</v>
      </c>
      <c r="B11" s="136">
        <v>434.4</v>
      </c>
      <c r="C11" s="136">
        <v>421.9</v>
      </c>
      <c r="D11" s="136">
        <v>391.9</v>
      </c>
      <c r="E11" s="136">
        <v>312</v>
      </c>
      <c r="F11" s="136">
        <v>332.6</v>
      </c>
      <c r="G11" s="136">
        <v>358.3</v>
      </c>
      <c r="H11" s="136">
        <v>324.60000000000002</v>
      </c>
      <c r="I11" s="136">
        <v>356.2</v>
      </c>
      <c r="J11" s="136">
        <v>397.4</v>
      </c>
      <c r="K11" s="136">
        <v>354.1</v>
      </c>
      <c r="L11" s="136">
        <v>354.6</v>
      </c>
      <c r="M11" s="136">
        <v>322.5</v>
      </c>
      <c r="N11" s="136">
        <v>403</v>
      </c>
      <c r="O11" s="136">
        <v>297.89999999999998</v>
      </c>
      <c r="P11" s="136">
        <v>341.5</v>
      </c>
      <c r="Q11" s="136">
        <v>260.60000000000002</v>
      </c>
      <c r="R11" s="136">
        <v>349.6</v>
      </c>
      <c r="S11" s="136">
        <v>365.3</v>
      </c>
      <c r="T11" s="136">
        <v>384.7</v>
      </c>
      <c r="U11" s="136">
        <v>389.9</v>
      </c>
      <c r="V11" s="317">
        <f t="shared" si="0"/>
        <v>346.96</v>
      </c>
      <c r="W11" s="318">
        <f t="shared" si="1"/>
        <v>339.73285714285703</v>
      </c>
      <c r="X11" s="317">
        <f t="shared" si="2"/>
        <v>357.65</v>
      </c>
      <c r="Y11" s="318">
        <f t="shared" si="3"/>
        <v>347.34117647058827</v>
      </c>
    </row>
    <row r="12" spans="1:25">
      <c r="A12" s="135" t="s">
        <v>69</v>
      </c>
      <c r="B12" s="136">
        <v>171.9</v>
      </c>
      <c r="C12" s="136">
        <v>216.1</v>
      </c>
      <c r="D12" s="136">
        <v>289</v>
      </c>
      <c r="E12" s="136">
        <v>77.099999999999994</v>
      </c>
      <c r="F12" s="136">
        <v>126.7</v>
      </c>
      <c r="G12" s="136">
        <v>152.4</v>
      </c>
      <c r="H12" s="136">
        <v>140.30000000000001</v>
      </c>
      <c r="I12" s="136">
        <v>266.8</v>
      </c>
      <c r="J12" s="136">
        <v>217</v>
      </c>
      <c r="K12" s="136">
        <v>196.2</v>
      </c>
      <c r="L12" s="136">
        <v>244.9</v>
      </c>
      <c r="M12" s="136">
        <v>177.8</v>
      </c>
      <c r="N12" s="136">
        <v>166.4</v>
      </c>
      <c r="O12" s="136">
        <v>243.1</v>
      </c>
      <c r="P12" s="136">
        <v>192.8</v>
      </c>
      <c r="Q12" s="136">
        <v>144.69999999999999</v>
      </c>
      <c r="R12" s="136">
        <v>156.69999999999999</v>
      </c>
      <c r="S12" s="136">
        <v>105.8</v>
      </c>
      <c r="T12" s="136">
        <v>152.1</v>
      </c>
      <c r="U12" s="136">
        <v>168.9</v>
      </c>
      <c r="V12" s="317">
        <f t="shared" si="0"/>
        <v>175.32</v>
      </c>
      <c r="W12" s="318">
        <f t="shared" si="1"/>
        <v>164.99285714285725</v>
      </c>
      <c r="X12" s="317">
        <f t="shared" si="2"/>
        <v>180.33500000000001</v>
      </c>
      <c r="Y12" s="318">
        <f t="shared" si="3"/>
        <v>172.33529411764704</v>
      </c>
    </row>
    <row r="13" spans="1:25">
      <c r="A13" s="135" t="s">
        <v>116</v>
      </c>
      <c r="B13" s="136">
        <v>25.9</v>
      </c>
      <c r="C13" s="136">
        <v>29.4</v>
      </c>
      <c r="D13" s="136">
        <v>30.4</v>
      </c>
      <c r="E13" s="136">
        <v>66.7</v>
      </c>
      <c r="F13" s="136">
        <v>44.4</v>
      </c>
      <c r="G13" s="136">
        <v>41.1</v>
      </c>
      <c r="H13" s="136">
        <v>47</v>
      </c>
      <c r="I13" s="136">
        <v>53.1</v>
      </c>
      <c r="J13" s="136">
        <v>65.3</v>
      </c>
      <c r="K13" s="136">
        <v>92.5</v>
      </c>
      <c r="L13" s="136">
        <v>27.3</v>
      </c>
      <c r="M13" s="136">
        <v>44.1</v>
      </c>
      <c r="N13" s="136">
        <v>35.5</v>
      </c>
      <c r="O13" s="136">
        <v>40.6</v>
      </c>
      <c r="P13" s="136">
        <v>75.7</v>
      </c>
      <c r="Q13" s="136">
        <v>37.700000000000003</v>
      </c>
      <c r="R13" s="136">
        <v>48.5</v>
      </c>
      <c r="S13" s="136">
        <v>42.1</v>
      </c>
      <c r="T13" s="136">
        <v>52.6</v>
      </c>
      <c r="U13" s="136">
        <v>37.299999999999997</v>
      </c>
      <c r="V13" s="317">
        <f t="shared" si="0"/>
        <v>44.14</v>
      </c>
      <c r="W13" s="318">
        <f t="shared" si="1"/>
        <v>50.617142857142881</v>
      </c>
      <c r="X13" s="317">
        <f t="shared" si="2"/>
        <v>46.860000000000007</v>
      </c>
      <c r="Y13" s="318">
        <f t="shared" si="3"/>
        <v>50.088235294117652</v>
      </c>
    </row>
    <row r="14" spans="1:25">
      <c r="A14" s="135" t="s">
        <v>117</v>
      </c>
      <c r="B14" s="136">
        <v>17.3</v>
      </c>
      <c r="C14" s="136">
        <v>18.899999999999999</v>
      </c>
      <c r="D14" s="136">
        <v>22.1</v>
      </c>
      <c r="E14" s="136">
        <v>6.9</v>
      </c>
      <c r="F14" s="136">
        <v>3.2</v>
      </c>
      <c r="G14" s="136">
        <v>18.600000000000001</v>
      </c>
      <c r="H14" s="136">
        <v>22.3</v>
      </c>
      <c r="I14" s="136">
        <v>4.7</v>
      </c>
      <c r="J14" s="136">
        <v>12.5</v>
      </c>
      <c r="K14" s="136">
        <v>21.3</v>
      </c>
      <c r="L14" s="136">
        <v>6.8</v>
      </c>
      <c r="M14" s="136">
        <v>6.5</v>
      </c>
      <c r="N14" s="136">
        <v>28</v>
      </c>
      <c r="O14" s="136">
        <v>7.6</v>
      </c>
      <c r="P14" s="136">
        <v>37.6</v>
      </c>
      <c r="Q14" s="136">
        <v>6.7</v>
      </c>
      <c r="R14" s="136">
        <v>0.8</v>
      </c>
      <c r="S14" s="136">
        <v>0</v>
      </c>
      <c r="T14" s="136">
        <v>15.1</v>
      </c>
      <c r="U14" s="136">
        <v>36.799999999999997</v>
      </c>
      <c r="V14" s="317">
        <f t="shared" si="0"/>
        <v>14.589999999999998</v>
      </c>
      <c r="W14" s="318">
        <f t="shared" si="1"/>
        <v>15.297142857142859</v>
      </c>
      <c r="X14" s="317">
        <f t="shared" si="2"/>
        <v>14.685000000000002</v>
      </c>
      <c r="Y14" s="318">
        <f t="shared" si="3"/>
        <v>13.847058823529411</v>
      </c>
    </row>
    <row r="15" spans="1:25">
      <c r="A15" s="135" t="s">
        <v>118</v>
      </c>
      <c r="B15" s="136">
        <v>4.3</v>
      </c>
      <c r="C15" s="136">
        <v>6.2</v>
      </c>
      <c r="D15" s="136">
        <v>49.4</v>
      </c>
      <c r="E15" s="136">
        <v>12.1</v>
      </c>
      <c r="F15" s="136">
        <v>28.8</v>
      </c>
      <c r="G15" s="136">
        <v>29.7</v>
      </c>
      <c r="H15" s="136">
        <v>2.2999999999999998</v>
      </c>
      <c r="I15" s="136">
        <v>11</v>
      </c>
      <c r="J15" s="136">
        <v>18.899999999999999</v>
      </c>
      <c r="K15" s="136">
        <v>55</v>
      </c>
      <c r="L15" s="136">
        <v>11.9</v>
      </c>
      <c r="M15" s="136">
        <v>27.5</v>
      </c>
      <c r="N15" s="136">
        <v>19.7</v>
      </c>
      <c r="O15" s="136">
        <v>36.200000000000003</v>
      </c>
      <c r="P15" s="136">
        <v>18.2</v>
      </c>
      <c r="Q15" s="136">
        <v>14.2</v>
      </c>
      <c r="R15" s="136">
        <v>6.9</v>
      </c>
      <c r="S15" s="136">
        <v>19.399999999999999</v>
      </c>
      <c r="T15" s="136">
        <v>32.700000000000003</v>
      </c>
      <c r="U15" s="136">
        <v>31.1</v>
      </c>
      <c r="V15" s="317">
        <f t="shared" si="0"/>
        <v>21.779999999999998</v>
      </c>
      <c r="W15" s="318">
        <f t="shared" si="1"/>
        <v>24.928571428571331</v>
      </c>
      <c r="X15" s="317">
        <f t="shared" si="2"/>
        <v>21.774999999999999</v>
      </c>
      <c r="Y15" s="318">
        <f t="shared" si="3"/>
        <v>22.09411764705882</v>
      </c>
    </row>
    <row r="16" spans="1:25">
      <c r="A16" s="135" t="s">
        <v>119</v>
      </c>
      <c r="B16" s="136">
        <v>143.6</v>
      </c>
      <c r="C16" s="136">
        <v>102.2</v>
      </c>
      <c r="D16" s="136">
        <v>115.2</v>
      </c>
      <c r="E16" s="136">
        <v>63</v>
      </c>
      <c r="F16" s="136">
        <v>88.9</v>
      </c>
      <c r="G16" s="136">
        <v>134</v>
      </c>
      <c r="H16" s="136">
        <v>118.8</v>
      </c>
      <c r="I16" s="136">
        <v>50.2</v>
      </c>
      <c r="J16" s="136">
        <v>104.1</v>
      </c>
      <c r="K16" s="136">
        <v>71.3</v>
      </c>
      <c r="L16" s="136">
        <v>63.4</v>
      </c>
      <c r="M16" s="136">
        <v>130.30000000000001</v>
      </c>
      <c r="N16" s="136">
        <v>74.7</v>
      </c>
      <c r="O16" s="136">
        <v>93.2</v>
      </c>
      <c r="P16" s="136">
        <v>88.8</v>
      </c>
      <c r="Q16" s="136">
        <v>122.7</v>
      </c>
      <c r="R16" s="136">
        <v>98.4</v>
      </c>
      <c r="S16" s="136">
        <v>125.4</v>
      </c>
      <c r="T16" s="136">
        <v>128.1</v>
      </c>
      <c r="U16" s="136">
        <v>117.7</v>
      </c>
      <c r="V16" s="317">
        <f t="shared" si="0"/>
        <v>104.27000000000001</v>
      </c>
      <c r="W16" s="318">
        <f t="shared" si="1"/>
        <v>105.56000000000006</v>
      </c>
      <c r="X16" s="317">
        <f t="shared" si="2"/>
        <v>101.70000000000002</v>
      </c>
      <c r="Y16" s="318">
        <f t="shared" si="3"/>
        <v>98.411764705882362</v>
      </c>
    </row>
    <row r="17" spans="1:25">
      <c r="A17" s="135" t="s">
        <v>120</v>
      </c>
      <c r="B17" s="136">
        <v>245.5</v>
      </c>
      <c r="C17" s="136">
        <v>301.39999999999998</v>
      </c>
      <c r="D17" s="136">
        <v>288.89999999999998</v>
      </c>
      <c r="E17" s="136">
        <v>257.60000000000002</v>
      </c>
      <c r="F17" s="136">
        <v>319</v>
      </c>
      <c r="G17" s="136">
        <v>251.6</v>
      </c>
      <c r="H17" s="136">
        <v>276.7</v>
      </c>
      <c r="I17" s="136">
        <v>349.3</v>
      </c>
      <c r="J17" s="136">
        <v>331.9</v>
      </c>
      <c r="K17" s="136">
        <v>287.5</v>
      </c>
      <c r="L17" s="136">
        <v>259.89999999999998</v>
      </c>
      <c r="M17" s="136">
        <v>335.1</v>
      </c>
      <c r="N17" s="136">
        <v>184.7</v>
      </c>
      <c r="O17" s="136">
        <v>325.7</v>
      </c>
      <c r="P17" s="136">
        <v>329.1</v>
      </c>
      <c r="Q17" s="136">
        <v>284.60000000000002</v>
      </c>
      <c r="R17" s="136">
        <v>279.89999999999998</v>
      </c>
      <c r="S17" s="136">
        <v>279.2</v>
      </c>
      <c r="T17" s="136">
        <v>262.10000000000002</v>
      </c>
      <c r="U17" s="136">
        <v>257.10000000000002</v>
      </c>
      <c r="V17" s="317">
        <f t="shared" si="0"/>
        <v>279.73999999999995</v>
      </c>
      <c r="W17" s="318">
        <f t="shared" si="1"/>
        <v>281.89571428571435</v>
      </c>
      <c r="X17" s="317">
        <f t="shared" si="2"/>
        <v>285.34000000000003</v>
      </c>
      <c r="Y17" s="318">
        <f t="shared" si="3"/>
        <v>286.52941176470586</v>
      </c>
    </row>
    <row r="18" spans="1:25">
      <c r="A18" s="135" t="s">
        <v>121</v>
      </c>
      <c r="B18" s="136">
        <v>539.20000000000005</v>
      </c>
      <c r="C18" s="136">
        <v>548.1</v>
      </c>
      <c r="D18" s="136">
        <v>471.4</v>
      </c>
      <c r="E18" s="136">
        <v>440.1</v>
      </c>
      <c r="F18" s="136">
        <v>405.1</v>
      </c>
      <c r="G18" s="136">
        <v>470.9</v>
      </c>
      <c r="H18" s="136">
        <v>370.8</v>
      </c>
      <c r="I18" s="136">
        <v>486.4</v>
      </c>
      <c r="J18" s="136">
        <v>434.4</v>
      </c>
      <c r="K18" s="136">
        <v>432.9</v>
      </c>
      <c r="L18" s="136">
        <v>433.1</v>
      </c>
      <c r="M18" s="136">
        <v>415.9</v>
      </c>
      <c r="N18" s="136">
        <v>511.8</v>
      </c>
      <c r="O18" s="136">
        <v>499.7</v>
      </c>
      <c r="P18" s="136">
        <v>396.5</v>
      </c>
      <c r="Q18" s="136">
        <v>424.1</v>
      </c>
      <c r="R18" s="136">
        <v>382.4</v>
      </c>
      <c r="S18" s="136">
        <v>483.6</v>
      </c>
      <c r="T18" s="136">
        <v>517.70000000000005</v>
      </c>
      <c r="U18" s="185">
        <v>529.9</v>
      </c>
      <c r="V18" s="317">
        <f t="shared" si="0"/>
        <v>459.46999999999997</v>
      </c>
      <c r="W18" s="318">
        <f t="shared" si="1"/>
        <v>454.36285714285714</v>
      </c>
      <c r="X18" s="317">
        <f t="shared" si="2"/>
        <v>459.7</v>
      </c>
      <c r="Y18" s="318">
        <f t="shared" si="3"/>
        <v>449.13529411764699</v>
      </c>
    </row>
    <row r="19" spans="1:25">
      <c r="A19" s="135" t="s">
        <v>122</v>
      </c>
      <c r="B19" s="136">
        <v>741.3</v>
      </c>
      <c r="C19" s="136">
        <v>596.5</v>
      </c>
      <c r="D19" s="136">
        <v>630.70000000000005</v>
      </c>
      <c r="E19" s="136">
        <v>572.1</v>
      </c>
      <c r="F19" s="136">
        <v>623.70000000000005</v>
      </c>
      <c r="G19" s="136">
        <v>826.5</v>
      </c>
      <c r="H19" s="136">
        <v>563.29999999999995</v>
      </c>
      <c r="I19" s="136">
        <v>675.6</v>
      </c>
      <c r="J19" s="136">
        <v>610</v>
      </c>
      <c r="K19" s="136">
        <v>700.1</v>
      </c>
      <c r="L19" s="136">
        <v>721.6</v>
      </c>
      <c r="M19" s="136">
        <v>545.20000000000005</v>
      </c>
      <c r="N19" s="136">
        <v>686.6</v>
      </c>
      <c r="O19" s="136">
        <v>694</v>
      </c>
      <c r="P19" s="136">
        <v>669.5</v>
      </c>
      <c r="Q19" s="136">
        <v>719.4</v>
      </c>
      <c r="R19" s="136">
        <v>574.79999999999995</v>
      </c>
      <c r="S19" s="136">
        <v>565.5</v>
      </c>
      <c r="T19" s="136">
        <v>727.3</v>
      </c>
      <c r="U19" s="185">
        <v>597.6</v>
      </c>
      <c r="V19" s="317">
        <f t="shared" si="0"/>
        <v>650.15000000000009</v>
      </c>
      <c r="W19" s="318">
        <f t="shared" si="1"/>
        <v>644.83000000000015</v>
      </c>
      <c r="X19" s="317">
        <f t="shared" si="2"/>
        <v>652.06499999999994</v>
      </c>
      <c r="Y19" s="318">
        <f t="shared" si="3"/>
        <v>651.34117647058815</v>
      </c>
    </row>
    <row r="20" spans="1:25">
      <c r="A20" s="135"/>
      <c r="B20" s="135"/>
      <c r="C20" s="135"/>
      <c r="D20" s="135"/>
      <c r="E20" s="135"/>
      <c r="F20" s="135"/>
      <c r="Q20" s="135"/>
      <c r="R20" s="135"/>
      <c r="S20" s="135"/>
      <c r="T20" s="135"/>
      <c r="U20" s="135"/>
    </row>
    <row r="21" spans="1:25">
      <c r="A21" s="135" t="s">
        <v>10</v>
      </c>
      <c r="B21" s="136">
        <f t="shared" ref="B21:U21" si="4">SUM(B8:B19)</f>
        <v>4249.9000000000005</v>
      </c>
      <c r="C21" s="136">
        <f t="shared" si="4"/>
        <v>4413.1000000000004</v>
      </c>
      <c r="D21" s="136">
        <f t="shared" si="4"/>
        <v>4301</v>
      </c>
      <c r="E21" s="136">
        <f t="shared" si="4"/>
        <v>3512.5999999999995</v>
      </c>
      <c r="F21" s="136">
        <f t="shared" si="4"/>
        <v>3932.8999999999996</v>
      </c>
      <c r="G21" s="136">
        <f t="shared" si="4"/>
        <v>4146.7999999999993</v>
      </c>
      <c r="H21" s="136">
        <f t="shared" si="4"/>
        <v>3820.0000000000009</v>
      </c>
      <c r="I21" s="136">
        <f t="shared" si="4"/>
        <v>4052.2</v>
      </c>
      <c r="J21" s="136">
        <f t="shared" si="4"/>
        <v>4454.5</v>
      </c>
      <c r="K21" s="136">
        <f t="shared" si="4"/>
        <v>4330.2000000000007</v>
      </c>
      <c r="L21" s="136">
        <f t="shared" si="4"/>
        <v>4302.2000000000007</v>
      </c>
      <c r="M21" s="136">
        <f t="shared" si="4"/>
        <v>3809.1000000000004</v>
      </c>
      <c r="N21" s="136">
        <f t="shared" si="4"/>
        <v>4175.8</v>
      </c>
      <c r="O21" s="136">
        <f t="shared" si="4"/>
        <v>4252.0999999999985</v>
      </c>
      <c r="P21" s="136">
        <f t="shared" si="4"/>
        <v>4253.7</v>
      </c>
      <c r="Q21" s="136">
        <f t="shared" si="4"/>
        <v>3851.3999999999992</v>
      </c>
      <c r="R21" s="136">
        <f t="shared" si="4"/>
        <v>4031.6000000000004</v>
      </c>
      <c r="S21" s="136">
        <f t="shared" si="4"/>
        <v>3586.7</v>
      </c>
      <c r="T21" s="136">
        <f t="shared" si="4"/>
        <v>4263.5999999999995</v>
      </c>
      <c r="U21" s="136">
        <f t="shared" si="4"/>
        <v>4620.4000000000005</v>
      </c>
    </row>
    <row r="22" spans="1:25">
      <c r="A22" s="130"/>
      <c r="B22" s="130"/>
      <c r="C22" s="130"/>
      <c r="D22" s="130"/>
      <c r="E22" s="131"/>
      <c r="F22" s="131"/>
      <c r="U22" s="320">
        <f>SUM(B21:U21)</f>
        <v>82359.799999999988</v>
      </c>
    </row>
    <row r="23" spans="1:25">
      <c r="A23" s="130" t="s">
        <v>123</v>
      </c>
      <c r="B23" s="130"/>
      <c r="C23" s="130"/>
      <c r="D23" s="130"/>
      <c r="E23" s="131"/>
      <c r="F23" s="131"/>
    </row>
    <row r="24" spans="1:25">
      <c r="A24" s="132"/>
      <c r="B24" s="132"/>
      <c r="C24" s="132"/>
      <c r="D24" s="132"/>
      <c r="E24" s="133"/>
      <c r="F24" s="133"/>
    </row>
    <row r="25" spans="1:25">
      <c r="A25" s="134" t="s">
        <v>109</v>
      </c>
      <c r="B25" s="134">
        <v>1995</v>
      </c>
      <c r="C25" s="134">
        <v>1996</v>
      </c>
      <c r="D25" s="134">
        <v>1997</v>
      </c>
      <c r="E25" s="134">
        <v>1998</v>
      </c>
      <c r="F25" s="134">
        <v>1999</v>
      </c>
      <c r="G25" s="134">
        <v>2000</v>
      </c>
      <c r="H25" s="134">
        <v>2001</v>
      </c>
      <c r="I25" s="134">
        <v>2002</v>
      </c>
      <c r="J25" s="134">
        <v>2003</v>
      </c>
      <c r="K25" s="134">
        <v>2004</v>
      </c>
      <c r="L25" s="134">
        <v>2005</v>
      </c>
      <c r="M25" s="134">
        <v>2006</v>
      </c>
      <c r="N25" s="134">
        <v>2007</v>
      </c>
      <c r="O25" s="134">
        <v>2008</v>
      </c>
      <c r="P25" s="134">
        <v>2009</v>
      </c>
      <c r="Q25" s="134">
        <v>2010</v>
      </c>
      <c r="R25" s="134">
        <v>2011</v>
      </c>
      <c r="S25" s="134">
        <v>2012</v>
      </c>
      <c r="T25" s="134">
        <v>2013</v>
      </c>
      <c r="U25" s="134">
        <v>2014</v>
      </c>
      <c r="V25" s="316" t="s">
        <v>110</v>
      </c>
      <c r="W25" s="316" t="s">
        <v>111</v>
      </c>
      <c r="X25" s="316" t="s">
        <v>125</v>
      </c>
      <c r="Y25" s="316" t="s">
        <v>126</v>
      </c>
    </row>
    <row r="26" spans="1:25">
      <c r="A26" s="132"/>
      <c r="B26" s="132"/>
      <c r="C26" s="132"/>
      <c r="D26" s="132"/>
      <c r="E26" s="131"/>
      <c r="F26" s="131"/>
      <c r="V26" s="137"/>
      <c r="W26" s="137"/>
      <c r="X26" s="137"/>
      <c r="Y26" s="137"/>
    </row>
    <row r="27" spans="1:25">
      <c r="E27" s="131"/>
      <c r="F27" s="131"/>
      <c r="V27" s="137"/>
      <c r="W27" s="137"/>
      <c r="X27" s="137"/>
      <c r="Y27" s="137"/>
    </row>
    <row r="28" spans="1:25">
      <c r="A28" s="135" t="s">
        <v>112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36">
        <v>0</v>
      </c>
      <c r="U28" s="136">
        <v>0</v>
      </c>
      <c r="V28" s="317">
        <f>AVERAGE(L28:U28)</f>
        <v>0</v>
      </c>
      <c r="W28" s="318">
        <f>TREND(B28:U28,$B$25:$U$25,2014)</f>
        <v>0</v>
      </c>
      <c r="X28" s="317">
        <f>AVERAGE(B28:U28)</f>
        <v>0</v>
      </c>
      <c r="Y28" s="318">
        <f>AVERAGE(E28:U28)</f>
        <v>0</v>
      </c>
    </row>
    <row r="29" spans="1:25">
      <c r="A29" s="135" t="s">
        <v>113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0</v>
      </c>
      <c r="V29" s="317">
        <f t="shared" ref="V29:V39" si="5">AVERAGE(L29:U29)</f>
        <v>0</v>
      </c>
      <c r="W29" s="318">
        <f t="shared" ref="W29:W38" si="6">TREND(B29:U29,$B$25:$U$25,2014)</f>
        <v>0</v>
      </c>
      <c r="X29" s="317">
        <f t="shared" ref="X29:X39" si="7">AVERAGE(B29:U29)</f>
        <v>0</v>
      </c>
      <c r="Y29" s="318">
        <f t="shared" ref="Y29:Y39" si="8">AVERAGE(E29:U29)</f>
        <v>0</v>
      </c>
    </row>
    <row r="30" spans="1:25">
      <c r="A30" s="135" t="s">
        <v>114</v>
      </c>
      <c r="B30" s="136">
        <v>0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  <c r="Q30" s="136">
        <v>0</v>
      </c>
      <c r="R30" s="136">
        <v>0</v>
      </c>
      <c r="S30" s="136">
        <v>0</v>
      </c>
      <c r="T30" s="136">
        <v>0</v>
      </c>
      <c r="U30" s="136">
        <v>0</v>
      </c>
      <c r="V30" s="317">
        <f t="shared" si="5"/>
        <v>0</v>
      </c>
      <c r="W30" s="318">
        <f t="shared" si="6"/>
        <v>0</v>
      </c>
      <c r="X30" s="317">
        <f t="shared" si="7"/>
        <v>0</v>
      </c>
      <c r="Y30" s="318">
        <f t="shared" si="8"/>
        <v>0</v>
      </c>
    </row>
    <row r="31" spans="1:25">
      <c r="A31" s="135" t="s">
        <v>115</v>
      </c>
      <c r="B31" s="136">
        <v>0</v>
      </c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6.6</v>
      </c>
      <c r="J31" s="136">
        <v>0.7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3.2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317">
        <f t="shared" si="5"/>
        <v>0.32</v>
      </c>
      <c r="W31" s="318">
        <f t="shared" si="6"/>
        <v>0.48000000000000043</v>
      </c>
      <c r="X31" s="317">
        <f t="shared" si="7"/>
        <v>0.52500000000000002</v>
      </c>
      <c r="Y31" s="318">
        <f t="shared" si="8"/>
        <v>0.61764705882352944</v>
      </c>
    </row>
    <row r="32" spans="1:25">
      <c r="A32" s="135" t="s">
        <v>69</v>
      </c>
      <c r="B32" s="136">
        <v>1.7</v>
      </c>
      <c r="C32" s="136">
        <v>10</v>
      </c>
      <c r="D32" s="136">
        <v>0</v>
      </c>
      <c r="E32" s="136">
        <v>16.8</v>
      </c>
      <c r="F32" s="136">
        <v>10.5</v>
      </c>
      <c r="G32" s="136">
        <v>18.7</v>
      </c>
      <c r="H32" s="136">
        <v>7.7</v>
      </c>
      <c r="I32" s="136">
        <v>5.3</v>
      </c>
      <c r="J32" s="136">
        <v>0</v>
      </c>
      <c r="K32" s="136">
        <v>6.7</v>
      </c>
      <c r="L32" s="136">
        <v>0</v>
      </c>
      <c r="M32" s="136">
        <v>17.7</v>
      </c>
      <c r="N32" s="136">
        <v>11.2</v>
      </c>
      <c r="O32" s="136">
        <v>0.7</v>
      </c>
      <c r="P32" s="136">
        <v>2.2999999999999998</v>
      </c>
      <c r="Q32" s="136">
        <v>21</v>
      </c>
      <c r="R32" s="136">
        <v>13.2</v>
      </c>
      <c r="S32" s="136">
        <v>18.2</v>
      </c>
      <c r="T32" s="136">
        <v>19.600000000000001</v>
      </c>
      <c r="U32" s="136">
        <v>9</v>
      </c>
      <c r="V32" s="317">
        <f t="shared" si="5"/>
        <v>11.290000000000001</v>
      </c>
      <c r="W32" s="318">
        <f t="shared" si="6"/>
        <v>13.249999999999886</v>
      </c>
      <c r="X32" s="317">
        <f t="shared" si="7"/>
        <v>9.5149999999999988</v>
      </c>
      <c r="Y32" s="318">
        <f t="shared" si="8"/>
        <v>10.505882352941176</v>
      </c>
    </row>
    <row r="33" spans="1:25">
      <c r="A33" s="135" t="s">
        <v>116</v>
      </c>
      <c r="B33" s="136">
        <v>70.8</v>
      </c>
      <c r="C33" s="136">
        <v>38.6</v>
      </c>
      <c r="D33" s="136">
        <v>50.4</v>
      </c>
      <c r="E33" s="136">
        <v>63.7</v>
      </c>
      <c r="F33" s="136">
        <v>76.5</v>
      </c>
      <c r="G33" s="136">
        <v>35.4</v>
      </c>
      <c r="H33" s="136">
        <v>62.4</v>
      </c>
      <c r="I33" s="136">
        <v>54.5</v>
      </c>
      <c r="J33" s="136">
        <v>25.5</v>
      </c>
      <c r="K33" s="136">
        <v>16.3</v>
      </c>
      <c r="L33" s="136">
        <v>104.8</v>
      </c>
      <c r="M33" s="136">
        <v>32.200000000000003</v>
      </c>
      <c r="N33" s="136">
        <v>51.2</v>
      </c>
      <c r="O33" s="136">
        <v>53</v>
      </c>
      <c r="P33" s="136">
        <v>26.2</v>
      </c>
      <c r="Q33" s="136">
        <v>32.6</v>
      </c>
      <c r="R33" s="136">
        <v>21.6</v>
      </c>
      <c r="S33" s="136">
        <v>61.2</v>
      </c>
      <c r="T33" s="136">
        <v>31.3</v>
      </c>
      <c r="U33" s="136">
        <v>44.3</v>
      </c>
      <c r="V33" s="317">
        <f t="shared" si="5"/>
        <v>45.84</v>
      </c>
      <c r="W33" s="318">
        <f t="shared" si="6"/>
        <v>36.537142857142953</v>
      </c>
      <c r="X33" s="317">
        <f t="shared" si="7"/>
        <v>47.625000000000007</v>
      </c>
      <c r="Y33" s="318">
        <f t="shared" si="8"/>
        <v>46.629411764705885</v>
      </c>
    </row>
    <row r="34" spans="1:25">
      <c r="A34" s="135" t="s">
        <v>117</v>
      </c>
      <c r="B34" s="136">
        <v>105.9</v>
      </c>
      <c r="C34" s="136">
        <v>41.9</v>
      </c>
      <c r="D34" s="136">
        <v>59.8</v>
      </c>
      <c r="E34" s="136">
        <v>64.8</v>
      </c>
      <c r="F34" s="136">
        <v>138.9</v>
      </c>
      <c r="G34" s="136">
        <v>44.8</v>
      </c>
      <c r="H34" s="136">
        <v>65.7</v>
      </c>
      <c r="I34" s="136">
        <v>129</v>
      </c>
      <c r="J34" s="136">
        <v>50.1</v>
      </c>
      <c r="K34" s="136">
        <v>49.3</v>
      </c>
      <c r="L34" s="136">
        <v>105.4</v>
      </c>
      <c r="M34" s="136">
        <v>117.2</v>
      </c>
      <c r="N34" s="136">
        <v>53.8</v>
      </c>
      <c r="O34" s="136">
        <v>75.8</v>
      </c>
      <c r="P34" s="136">
        <v>14.5</v>
      </c>
      <c r="Q34" s="136">
        <v>106.6</v>
      </c>
      <c r="R34" s="136">
        <v>129.69999999999999</v>
      </c>
      <c r="S34" s="136">
        <v>128.19999999999999</v>
      </c>
      <c r="T34" s="136">
        <v>86.5</v>
      </c>
      <c r="U34" s="136">
        <v>38.799999999999997</v>
      </c>
      <c r="V34" s="317">
        <f t="shared" si="5"/>
        <v>85.65</v>
      </c>
      <c r="W34" s="318">
        <f t="shared" si="6"/>
        <v>85.171428571428578</v>
      </c>
      <c r="X34" s="317">
        <f t="shared" si="7"/>
        <v>80.335000000000008</v>
      </c>
      <c r="Y34" s="318">
        <f t="shared" si="8"/>
        <v>82.3</v>
      </c>
    </row>
    <row r="35" spans="1:25">
      <c r="A35" s="135" t="s">
        <v>118</v>
      </c>
      <c r="B35" s="136">
        <v>101.9</v>
      </c>
      <c r="C35" s="136">
        <v>55.2</v>
      </c>
      <c r="D35" s="136">
        <v>21.9</v>
      </c>
      <c r="E35" s="136">
        <v>83.1</v>
      </c>
      <c r="F35" s="136">
        <v>30.9</v>
      </c>
      <c r="G35" s="136">
        <v>46.3</v>
      </c>
      <c r="H35" s="136">
        <v>94.2</v>
      </c>
      <c r="I35" s="136">
        <v>72.3</v>
      </c>
      <c r="J35" s="136">
        <v>72.400000000000006</v>
      </c>
      <c r="K35" s="136">
        <v>30.6</v>
      </c>
      <c r="L35" s="136">
        <v>67.900000000000006</v>
      </c>
      <c r="M35" s="136">
        <v>45.5</v>
      </c>
      <c r="N35" s="136">
        <v>65.099999999999994</v>
      </c>
      <c r="O35" s="136">
        <v>29.5</v>
      </c>
      <c r="P35" s="136">
        <v>57.3</v>
      </c>
      <c r="Q35" s="136">
        <v>85.3</v>
      </c>
      <c r="R35" s="136">
        <v>60.1</v>
      </c>
      <c r="S35" s="136">
        <v>59.1</v>
      </c>
      <c r="T35" s="136">
        <v>42.1</v>
      </c>
      <c r="U35" s="136">
        <v>28.5</v>
      </c>
      <c r="V35" s="317">
        <f t="shared" si="5"/>
        <v>54.040000000000006</v>
      </c>
      <c r="W35" s="318">
        <f t="shared" si="6"/>
        <v>48.937142857143044</v>
      </c>
      <c r="X35" s="317">
        <f t="shared" si="7"/>
        <v>57.459999999999994</v>
      </c>
      <c r="Y35" s="318">
        <f t="shared" si="8"/>
        <v>57.070588235294117</v>
      </c>
    </row>
    <row r="36" spans="1:25">
      <c r="A36" s="135" t="s">
        <v>119</v>
      </c>
      <c r="B36" s="136">
        <v>10.8</v>
      </c>
      <c r="C36" s="136">
        <v>12.6</v>
      </c>
      <c r="D36" s="136">
        <v>5.4</v>
      </c>
      <c r="E36" s="136">
        <v>26</v>
      </c>
      <c r="F36" s="136">
        <v>27.7</v>
      </c>
      <c r="G36" s="136">
        <v>23.8</v>
      </c>
      <c r="H36" s="136">
        <v>19.2</v>
      </c>
      <c r="I36" s="136">
        <v>47</v>
      </c>
      <c r="J36" s="136">
        <v>6</v>
      </c>
      <c r="K36" s="136">
        <v>13.7</v>
      </c>
      <c r="L36" s="136">
        <v>13.7</v>
      </c>
      <c r="M36" s="136">
        <v>2.2999999999999998</v>
      </c>
      <c r="N36" s="136">
        <v>28</v>
      </c>
      <c r="O36" s="136">
        <v>12</v>
      </c>
      <c r="P36" s="136">
        <v>5.5</v>
      </c>
      <c r="Q36" s="136">
        <v>23</v>
      </c>
      <c r="R36" s="136">
        <v>19.7</v>
      </c>
      <c r="S36" s="136">
        <v>16.399999999999999</v>
      </c>
      <c r="T36" s="136">
        <v>20.5</v>
      </c>
      <c r="U36" s="136">
        <v>11.4</v>
      </c>
      <c r="V36" s="317">
        <f t="shared" si="5"/>
        <v>15.25</v>
      </c>
      <c r="W36" s="318">
        <f t="shared" si="6"/>
        <v>16.205714285714294</v>
      </c>
      <c r="X36" s="317">
        <f t="shared" si="7"/>
        <v>17.234999999999996</v>
      </c>
      <c r="Y36" s="318">
        <f t="shared" si="8"/>
        <v>18.582352941176467</v>
      </c>
    </row>
    <row r="37" spans="1:25">
      <c r="A37" s="135" t="s">
        <v>120</v>
      </c>
      <c r="B37" s="136">
        <v>0</v>
      </c>
      <c r="C37" s="136">
        <v>0</v>
      </c>
      <c r="D37" s="136">
        <v>1.6</v>
      </c>
      <c r="E37" s="136">
        <v>0</v>
      </c>
      <c r="F37" s="136">
        <v>0</v>
      </c>
      <c r="G37" s="136">
        <v>0</v>
      </c>
      <c r="H37" s="136">
        <v>0</v>
      </c>
      <c r="I37" s="136">
        <v>1</v>
      </c>
      <c r="J37" s="136">
        <v>0</v>
      </c>
      <c r="K37" s="136">
        <v>0</v>
      </c>
      <c r="L37" s="136">
        <v>2.6</v>
      </c>
      <c r="M37" s="136">
        <v>0</v>
      </c>
      <c r="N37" s="136">
        <v>10.9</v>
      </c>
      <c r="O37" s="136">
        <v>0</v>
      </c>
      <c r="P37" s="136">
        <v>0</v>
      </c>
      <c r="Q37" s="136">
        <v>0</v>
      </c>
      <c r="R37" s="136">
        <v>0</v>
      </c>
      <c r="S37" s="136">
        <v>0</v>
      </c>
      <c r="T37" s="136">
        <v>0</v>
      </c>
      <c r="U37" s="136">
        <v>0</v>
      </c>
      <c r="V37" s="317">
        <f t="shared" si="5"/>
        <v>1.35</v>
      </c>
      <c r="W37" s="318">
        <f t="shared" si="6"/>
        <v>1.0057142857142836</v>
      </c>
      <c r="X37" s="317">
        <f t="shared" si="7"/>
        <v>0.80500000000000005</v>
      </c>
      <c r="Y37" s="318">
        <f t="shared" si="8"/>
        <v>0.8529411764705882</v>
      </c>
    </row>
    <row r="38" spans="1:25">
      <c r="A38" s="135" t="s">
        <v>121</v>
      </c>
      <c r="B38" s="136">
        <v>0</v>
      </c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  <c r="T38" s="136">
        <v>0</v>
      </c>
      <c r="U38" s="185">
        <v>0</v>
      </c>
      <c r="V38" s="317">
        <f t="shared" si="5"/>
        <v>0</v>
      </c>
      <c r="W38" s="318">
        <f t="shared" si="6"/>
        <v>0</v>
      </c>
      <c r="X38" s="317">
        <f t="shared" si="7"/>
        <v>0</v>
      </c>
      <c r="Y38" s="318">
        <f t="shared" si="8"/>
        <v>0</v>
      </c>
    </row>
    <row r="39" spans="1:25">
      <c r="A39" s="135" t="s">
        <v>122</v>
      </c>
      <c r="B39" s="136">
        <v>0</v>
      </c>
      <c r="C39" s="136">
        <v>0</v>
      </c>
      <c r="D39" s="136">
        <v>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136">
        <v>0</v>
      </c>
      <c r="R39" s="136">
        <v>0</v>
      </c>
      <c r="S39" s="136">
        <v>0</v>
      </c>
      <c r="T39" s="136">
        <v>0</v>
      </c>
      <c r="U39" s="185">
        <v>0</v>
      </c>
      <c r="V39" s="317">
        <f t="shared" si="5"/>
        <v>0</v>
      </c>
      <c r="W39" s="318">
        <f>TREND(B39:U39,$B$25:$U$25,2014)</f>
        <v>0</v>
      </c>
      <c r="X39" s="317">
        <f t="shared" si="7"/>
        <v>0</v>
      </c>
      <c r="Y39" s="318">
        <f t="shared" si="8"/>
        <v>0</v>
      </c>
    </row>
    <row r="40" spans="1:25">
      <c r="A40" s="135"/>
      <c r="B40" s="135"/>
      <c r="C40" s="135"/>
      <c r="D40" s="135"/>
      <c r="E40" s="135"/>
      <c r="F40" s="135"/>
      <c r="G40" s="131"/>
      <c r="H40" s="131"/>
      <c r="Q40" s="135"/>
      <c r="R40" s="135"/>
      <c r="S40" s="135"/>
      <c r="T40" s="135"/>
      <c r="U40" s="135"/>
      <c r="V40" s="137"/>
      <c r="W40" s="137"/>
      <c r="X40" s="137"/>
      <c r="Y40" s="137"/>
    </row>
    <row r="41" spans="1:25">
      <c r="A41" s="135" t="s">
        <v>10</v>
      </c>
      <c r="B41" s="136">
        <f t="shared" ref="B41:U41" si="9">SUM(B28:B39)</f>
        <v>291.10000000000002</v>
      </c>
      <c r="C41" s="136">
        <f t="shared" si="9"/>
        <v>158.29999999999998</v>
      </c>
      <c r="D41" s="136">
        <f t="shared" si="9"/>
        <v>139.1</v>
      </c>
      <c r="E41" s="136">
        <f t="shared" si="9"/>
        <v>254.4</v>
      </c>
      <c r="F41" s="136">
        <f t="shared" si="9"/>
        <v>284.5</v>
      </c>
      <c r="G41" s="136">
        <f t="shared" si="9"/>
        <v>169</v>
      </c>
      <c r="H41" s="136">
        <f t="shared" si="9"/>
        <v>249.2</v>
      </c>
      <c r="I41" s="136">
        <f t="shared" si="9"/>
        <v>315.7</v>
      </c>
      <c r="J41" s="136">
        <f t="shared" si="9"/>
        <v>154.69999999999999</v>
      </c>
      <c r="K41" s="136">
        <f t="shared" si="9"/>
        <v>116.60000000000001</v>
      </c>
      <c r="L41" s="136">
        <f t="shared" si="9"/>
        <v>294.40000000000003</v>
      </c>
      <c r="M41" s="136">
        <f t="shared" si="9"/>
        <v>214.90000000000003</v>
      </c>
      <c r="N41" s="136">
        <f t="shared" si="9"/>
        <v>220.20000000000002</v>
      </c>
      <c r="O41" s="136">
        <f t="shared" si="9"/>
        <v>171</v>
      </c>
      <c r="P41" s="136">
        <f t="shared" si="9"/>
        <v>109</v>
      </c>
      <c r="Q41" s="136">
        <f t="shared" si="9"/>
        <v>268.5</v>
      </c>
      <c r="R41" s="136">
        <f t="shared" si="9"/>
        <v>244.29999999999998</v>
      </c>
      <c r="S41" s="136">
        <f t="shared" si="9"/>
        <v>283.09999999999997</v>
      </c>
      <c r="T41" s="136">
        <f t="shared" si="9"/>
        <v>200</v>
      </c>
      <c r="U41" s="136">
        <f t="shared" si="9"/>
        <v>132</v>
      </c>
      <c r="V41" s="319"/>
      <c r="W41" s="319"/>
      <c r="X41" s="137"/>
      <c r="Y41" s="137"/>
    </row>
    <row r="42" spans="1:25">
      <c r="A42" s="135"/>
      <c r="B42" s="135"/>
      <c r="C42" s="135"/>
      <c r="D42" s="135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U42" s="320">
        <f>SUM(B41:U41)</f>
        <v>4270</v>
      </c>
      <c r="V42" s="137"/>
      <c r="W42" s="137"/>
      <c r="X42" s="137"/>
      <c r="Y42" s="137"/>
    </row>
    <row r="43" spans="1:25">
      <c r="A43" s="135"/>
      <c r="B43" s="135"/>
      <c r="C43" s="135"/>
      <c r="D43" s="135"/>
      <c r="E43" s="131"/>
      <c r="F43" s="131"/>
      <c r="G43" s="131"/>
      <c r="H43" s="131"/>
      <c r="V43" s="137"/>
      <c r="W43" s="137"/>
      <c r="X43" s="137"/>
      <c r="Y43" s="137"/>
    </row>
    <row r="44" spans="1:25">
      <c r="A44" s="130"/>
      <c r="B44" s="130"/>
      <c r="C44" s="130"/>
      <c r="D44" s="130"/>
      <c r="E44" s="131"/>
      <c r="F44" s="131"/>
      <c r="V44" s="137"/>
      <c r="W44" s="137"/>
      <c r="X44" s="137"/>
      <c r="Y44" s="137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"/>
  <sheetViews>
    <sheetView topLeftCell="A10" workbookViewId="0">
      <selection activeCell="C7" sqref="C7"/>
    </sheetView>
  </sheetViews>
  <sheetFormatPr defaultRowHeight="13.2"/>
  <cols>
    <col min="1" max="1" width="1" customWidth="1"/>
    <col min="2" max="2" width="31.44140625" bestFit="1" customWidth="1"/>
    <col min="3" max="3" width="14.109375" customWidth="1"/>
    <col min="4" max="4" width="11.6640625" customWidth="1"/>
    <col min="5" max="5" width="13.44140625" customWidth="1"/>
    <col min="6" max="6" width="10" customWidth="1"/>
    <col min="7" max="7" width="12.6640625" customWidth="1"/>
    <col min="8" max="8" width="12.88671875" bestFit="1" customWidth="1"/>
    <col min="9" max="9" width="6" bestFit="1" customWidth="1"/>
    <col min="10" max="10" width="10.33203125" bestFit="1" customWidth="1"/>
    <col min="11" max="11" width="8.88671875" customWidth="1"/>
    <col min="12" max="12" width="12.6640625" bestFit="1" customWidth="1"/>
  </cols>
  <sheetData>
    <row r="2" spans="2:10" ht="13.8" thickBot="1"/>
    <row r="3" spans="2:10" ht="13.8" thickBot="1">
      <c r="B3" s="251" t="s">
        <v>136</v>
      </c>
      <c r="C3" s="252"/>
      <c r="D3" s="252"/>
      <c r="E3" s="253"/>
    </row>
    <row r="4" spans="2:10">
      <c r="B4" s="152" t="s">
        <v>137</v>
      </c>
      <c r="C4" s="65" t="s">
        <v>71</v>
      </c>
      <c r="D4" s="65" t="s">
        <v>72</v>
      </c>
      <c r="E4" s="65" t="s">
        <v>127</v>
      </c>
    </row>
    <row r="5" spans="2:10">
      <c r="B5" s="84" t="s">
        <v>1</v>
      </c>
      <c r="C5" s="85">
        <f>Summary!N15</f>
        <v>404568389.63494986</v>
      </c>
      <c r="D5" s="86"/>
      <c r="E5" s="139">
        <v>1</v>
      </c>
      <c r="G5" s="188"/>
    </row>
    <row r="6" spans="2:10">
      <c r="B6" s="84" t="s">
        <v>130</v>
      </c>
      <c r="C6" s="85">
        <f>Summary!N19</f>
        <v>194995025.18158332</v>
      </c>
      <c r="D6" s="86"/>
      <c r="E6" s="139">
        <v>1</v>
      </c>
      <c r="G6" s="188"/>
    </row>
    <row r="7" spans="2:10">
      <c r="B7" s="220" t="s">
        <v>156</v>
      </c>
      <c r="C7" s="85">
        <f>Summary!N23</f>
        <v>711599630.24831927</v>
      </c>
      <c r="D7" s="87">
        <f>Summary!N24</f>
        <v>1749824.0134108856</v>
      </c>
      <c r="E7" s="139">
        <v>0.106</v>
      </c>
      <c r="G7" s="188"/>
      <c r="J7" s="188"/>
    </row>
    <row r="8" spans="2:10">
      <c r="B8" s="84" t="s">
        <v>94</v>
      </c>
      <c r="C8" s="85">
        <f>Summary!N28</f>
        <v>93142619.573401704</v>
      </c>
      <c r="D8" s="87">
        <f>Summary!N29</f>
        <v>170072.65435918243</v>
      </c>
      <c r="E8" s="139">
        <v>0</v>
      </c>
      <c r="G8" s="188"/>
      <c r="J8" s="188"/>
    </row>
    <row r="9" spans="2:10">
      <c r="B9" s="220" t="s">
        <v>93</v>
      </c>
      <c r="C9" s="85">
        <f>+Summary!N33</f>
        <v>6912533.0445563188</v>
      </c>
      <c r="D9" s="87">
        <f>+Summary!N34</f>
        <v>12785.136115664116</v>
      </c>
      <c r="E9" s="139">
        <v>0</v>
      </c>
      <c r="G9" s="188"/>
      <c r="J9" s="188"/>
    </row>
    <row r="10" spans="2:10">
      <c r="B10" s="84" t="s">
        <v>64</v>
      </c>
      <c r="C10" s="85">
        <f>Summary!N38</f>
        <v>7639657.8944030702</v>
      </c>
      <c r="D10" s="87">
        <f>Summary!N39</f>
        <v>21239.71699462146</v>
      </c>
      <c r="E10" s="139">
        <v>3.2000000000000001E-2</v>
      </c>
      <c r="G10" s="188"/>
      <c r="J10" s="188"/>
    </row>
    <row r="11" spans="2:10">
      <c r="B11" s="84" t="s">
        <v>2</v>
      </c>
      <c r="C11" s="85">
        <f>Summary!N43</f>
        <v>2829382.1646586121</v>
      </c>
      <c r="D11" s="87"/>
      <c r="E11" s="139">
        <v>1</v>
      </c>
      <c r="G11" s="188"/>
      <c r="J11" s="188"/>
    </row>
    <row r="12" spans="2:10">
      <c r="B12" s="220" t="s">
        <v>65</v>
      </c>
      <c r="C12" s="85">
        <f>Summary!N47</f>
        <v>31553438.348883525</v>
      </c>
      <c r="D12" s="87">
        <f>+Summary!N48</f>
        <v>71802.963370070749</v>
      </c>
      <c r="E12" s="139">
        <v>0</v>
      </c>
      <c r="G12" s="188"/>
    </row>
    <row r="13" spans="2:10">
      <c r="B13" s="88" t="s">
        <v>73</v>
      </c>
      <c r="C13" s="89">
        <f>SUM(C5:C12)</f>
        <v>1453240676.0907557</v>
      </c>
      <c r="D13" s="89">
        <f>SUM(D5:D12)</f>
        <v>2025724.4842504244</v>
      </c>
      <c r="E13" s="89"/>
      <c r="G13" s="188"/>
      <c r="I13" s="56"/>
    </row>
    <row r="14" spans="2:10">
      <c r="C14" s="53">
        <f>+C13-Summary!N10</f>
        <v>0</v>
      </c>
      <c r="D14" s="53">
        <f>+D13-Summary!N53</f>
        <v>0</v>
      </c>
      <c r="F14" s="166"/>
    </row>
    <row r="15" spans="2:10">
      <c r="E15" s="29"/>
      <c r="F15" s="267"/>
      <c r="G15" s="29"/>
    </row>
    <row r="16" spans="2:10">
      <c r="B16" s="140" t="s">
        <v>74</v>
      </c>
      <c r="C16" s="254" t="s">
        <v>138</v>
      </c>
      <c r="D16" s="256" t="s">
        <v>139</v>
      </c>
      <c r="E16" s="258">
        <v>2015</v>
      </c>
      <c r="F16" s="259"/>
      <c r="G16" s="260"/>
    </row>
    <row r="17" spans="2:7">
      <c r="B17" s="141" t="s">
        <v>75</v>
      </c>
      <c r="C17" s="255"/>
      <c r="D17" s="257"/>
      <c r="E17" s="244"/>
      <c r="F17" s="245"/>
      <c r="G17" s="246"/>
    </row>
    <row r="18" spans="2:7">
      <c r="B18" s="61" t="str">
        <f>B5</f>
        <v xml:space="preserve">Residential </v>
      </c>
      <c r="C18" s="85">
        <f t="shared" ref="C18:C25" si="0">C5*E5</f>
        <v>404568389.63494986</v>
      </c>
      <c r="D18" s="91">
        <v>1.0404</v>
      </c>
      <c r="E18" s="92">
        <f t="shared" ref="E18:E25" si="1">C18*D18</f>
        <v>420912952.57620186</v>
      </c>
      <c r="F18" s="93">
        <v>9.4960000000000003E-2</v>
      </c>
      <c r="G18" s="94">
        <f t="shared" ref="G18:G25" si="2">E18*F18</f>
        <v>39969893.976636127</v>
      </c>
    </row>
    <row r="19" spans="2:7">
      <c r="B19" s="61" t="str">
        <f>B6</f>
        <v>General Service &lt; 50 kW</v>
      </c>
      <c r="C19" s="85">
        <f t="shared" si="0"/>
        <v>194995025.18158332</v>
      </c>
      <c r="D19" s="91">
        <v>1.0404</v>
      </c>
      <c r="E19" s="92">
        <f>C19*D19</f>
        <v>202872824.19891927</v>
      </c>
      <c r="F19" s="93">
        <v>9.4960000000000003E-2</v>
      </c>
      <c r="G19" s="94">
        <f>E19*F19</f>
        <v>19264803.385929376</v>
      </c>
    </row>
    <row r="20" spans="2:7">
      <c r="B20" s="61" t="str">
        <f>B7</f>
        <v>General Service &gt; 50 to 4999 kW</v>
      </c>
      <c r="C20" s="85">
        <f t="shared" si="0"/>
        <v>75429560.806321844</v>
      </c>
      <c r="D20" s="91">
        <v>1.0404</v>
      </c>
      <c r="E20" s="92">
        <f t="shared" si="1"/>
        <v>78476915.06289725</v>
      </c>
      <c r="F20" s="93">
        <v>9.4960000000000003E-2</v>
      </c>
      <c r="G20" s="94">
        <f t="shared" si="2"/>
        <v>7452167.854372723</v>
      </c>
    </row>
    <row r="21" spans="2:7">
      <c r="B21" s="61" t="str">
        <f>B8</f>
        <v>Large User</v>
      </c>
      <c r="C21" s="85">
        <f t="shared" si="0"/>
        <v>0</v>
      </c>
      <c r="D21" s="91">
        <v>1.0049999999999999</v>
      </c>
      <c r="E21" s="92">
        <f t="shared" si="1"/>
        <v>0</v>
      </c>
      <c r="F21" s="93">
        <v>9.4960000000000003E-2</v>
      </c>
      <c r="G21" s="94">
        <f t="shared" si="2"/>
        <v>0</v>
      </c>
    </row>
    <row r="22" spans="2:7">
      <c r="B22" s="61" t="s">
        <v>93</v>
      </c>
      <c r="C22" s="85">
        <f t="shared" si="0"/>
        <v>0</v>
      </c>
      <c r="D22" s="221">
        <v>1.0404</v>
      </c>
      <c r="E22" s="92">
        <f t="shared" si="1"/>
        <v>0</v>
      </c>
      <c r="F22" s="93">
        <v>0</v>
      </c>
      <c r="G22" s="94">
        <f t="shared" si="2"/>
        <v>0</v>
      </c>
    </row>
    <row r="23" spans="2:7">
      <c r="B23" s="61" t="str">
        <f>B10</f>
        <v>Street Lights</v>
      </c>
      <c r="C23" s="85">
        <f t="shared" si="0"/>
        <v>244469.05262089826</v>
      </c>
      <c r="D23" s="91">
        <v>1.0404</v>
      </c>
      <c r="E23" s="92">
        <f t="shared" si="1"/>
        <v>254345.60234678254</v>
      </c>
      <c r="F23" s="93">
        <v>9.4960000000000003E-2</v>
      </c>
      <c r="G23" s="94">
        <f t="shared" si="2"/>
        <v>24152.658398850472</v>
      </c>
    </row>
    <row r="24" spans="2:7">
      <c r="B24" s="61" t="str">
        <f>B11</f>
        <v xml:space="preserve">Unmetered Loads </v>
      </c>
      <c r="C24" s="85">
        <f t="shared" si="0"/>
        <v>2829382.1646586121</v>
      </c>
      <c r="D24" s="91">
        <v>1.0404</v>
      </c>
      <c r="E24" s="92">
        <f t="shared" si="1"/>
        <v>2943689.2041108198</v>
      </c>
      <c r="F24" s="93">
        <v>9.4960000000000003E-2</v>
      </c>
      <c r="G24" s="94">
        <f t="shared" si="2"/>
        <v>279532.72682236345</v>
      </c>
    </row>
    <row r="25" spans="2:7">
      <c r="B25" s="61" t="str">
        <f>B12</f>
        <v>Embedded Distributor</v>
      </c>
      <c r="C25" s="85">
        <f t="shared" si="0"/>
        <v>0</v>
      </c>
      <c r="D25" s="221">
        <v>1.0049999999999999</v>
      </c>
      <c r="E25" s="92">
        <f t="shared" si="1"/>
        <v>0</v>
      </c>
      <c r="F25" s="93">
        <v>9.4960000000000003E-2</v>
      </c>
      <c r="G25" s="94">
        <f t="shared" si="2"/>
        <v>0</v>
      </c>
    </row>
    <row r="26" spans="2:7">
      <c r="B26" s="88" t="s">
        <v>73</v>
      </c>
      <c r="C26" s="89">
        <f>SUM(C18:C25)</f>
        <v>678066826.84013462</v>
      </c>
      <c r="D26" s="90"/>
      <c r="E26" s="89">
        <f>SUM(E18:E25)</f>
        <v>705460726.64447594</v>
      </c>
      <c r="F26" s="95"/>
      <c r="G26" s="96">
        <f>SUM(G18:G25)</f>
        <v>66990550.602159441</v>
      </c>
    </row>
    <row r="27" spans="2:7">
      <c r="B27" s="97"/>
      <c r="C27" s="98"/>
      <c r="D27" s="99"/>
      <c r="E27" s="98"/>
      <c r="F27" s="100"/>
      <c r="G27" s="101"/>
    </row>
    <row r="28" spans="2:7">
      <c r="B28" s="140" t="s">
        <v>76</v>
      </c>
      <c r="C28" s="254" t="s">
        <v>138</v>
      </c>
      <c r="D28" s="256" t="s">
        <v>139</v>
      </c>
      <c r="E28" s="258">
        <v>2015</v>
      </c>
      <c r="F28" s="259"/>
      <c r="G28" s="260"/>
    </row>
    <row r="29" spans="2:7">
      <c r="B29" s="141" t="s">
        <v>77</v>
      </c>
      <c r="C29" s="255"/>
      <c r="D29" s="257"/>
      <c r="E29" s="244"/>
      <c r="F29" s="245"/>
      <c r="G29" s="246"/>
    </row>
    <row r="30" spans="2:7">
      <c r="B30" s="61" t="str">
        <f>B18</f>
        <v xml:space="preserve">Residential </v>
      </c>
      <c r="C30" s="85">
        <f t="shared" ref="C30:C37" si="3">C5-C18</f>
        <v>0</v>
      </c>
      <c r="D30" s="86">
        <f>D18</f>
        <v>1.0404</v>
      </c>
      <c r="E30" s="92">
        <f t="shared" ref="E30:E37" si="4">C30*D30</f>
        <v>0</v>
      </c>
      <c r="F30" s="93">
        <v>9.5519999999999994E-2</v>
      </c>
      <c r="G30" s="94">
        <f t="shared" ref="G30:G37" si="5">E30*F30</f>
        <v>0</v>
      </c>
    </row>
    <row r="31" spans="2:7">
      <c r="B31" s="61" t="str">
        <f>B19</f>
        <v>General Service &lt; 50 kW</v>
      </c>
      <c r="C31" s="85">
        <f t="shared" si="3"/>
        <v>0</v>
      </c>
      <c r="D31" s="86">
        <f>D19</f>
        <v>1.0404</v>
      </c>
      <c r="E31" s="92">
        <f t="shared" si="4"/>
        <v>0</v>
      </c>
      <c r="F31" s="93">
        <v>9.5519999999999994E-2</v>
      </c>
      <c r="G31" s="94">
        <f t="shared" si="5"/>
        <v>0</v>
      </c>
    </row>
    <row r="32" spans="2:7">
      <c r="B32" s="61" t="str">
        <f>B20</f>
        <v>General Service &gt; 50 to 4999 kW</v>
      </c>
      <c r="C32" s="85">
        <f t="shared" si="3"/>
        <v>636170069.44199741</v>
      </c>
      <c r="D32" s="86">
        <f>D20</f>
        <v>1.0404</v>
      </c>
      <c r="E32" s="92">
        <f t="shared" si="4"/>
        <v>661871340.24745405</v>
      </c>
      <c r="F32" s="93">
        <v>9.5519999999999994E-2</v>
      </c>
      <c r="G32" s="94">
        <f t="shared" si="5"/>
        <v>63221950.420436807</v>
      </c>
    </row>
    <row r="33" spans="2:8">
      <c r="B33" s="61" t="str">
        <f>B21</f>
        <v>Large User</v>
      </c>
      <c r="C33" s="85">
        <f t="shared" si="3"/>
        <v>93142619.573401704</v>
      </c>
      <c r="D33" s="86">
        <f>D21</f>
        <v>1.0049999999999999</v>
      </c>
      <c r="E33" s="92">
        <f t="shared" si="4"/>
        <v>93608332.671268702</v>
      </c>
      <c r="F33" s="93">
        <v>9.5519999999999994E-2</v>
      </c>
      <c r="G33" s="94">
        <f t="shared" si="5"/>
        <v>8941467.9367595855</v>
      </c>
    </row>
    <row r="34" spans="2:8">
      <c r="B34" s="61" t="s">
        <v>93</v>
      </c>
      <c r="C34" s="85">
        <f t="shared" si="3"/>
        <v>6912533.0445563188</v>
      </c>
      <c r="D34" s="86">
        <f>+D22</f>
        <v>1.0404</v>
      </c>
      <c r="E34" s="92">
        <f t="shared" si="4"/>
        <v>7191799.3795563942</v>
      </c>
      <c r="F34" s="93">
        <v>0</v>
      </c>
      <c r="G34" s="94">
        <f t="shared" si="5"/>
        <v>0</v>
      </c>
      <c r="H34" s="195"/>
    </row>
    <row r="35" spans="2:8">
      <c r="B35" s="61" t="str">
        <f>B23</f>
        <v>Street Lights</v>
      </c>
      <c r="C35" s="85">
        <f t="shared" si="3"/>
        <v>7395188.8417821722</v>
      </c>
      <c r="D35" s="86">
        <f>D23</f>
        <v>1.0404</v>
      </c>
      <c r="E35" s="92">
        <f t="shared" si="4"/>
        <v>7693954.4709901717</v>
      </c>
      <c r="F35" s="93">
        <v>9.5519999999999994E-2</v>
      </c>
      <c r="G35" s="94">
        <f t="shared" si="5"/>
        <v>734926.53106898116</v>
      </c>
    </row>
    <row r="36" spans="2:8">
      <c r="B36" s="61" t="str">
        <f>B24</f>
        <v xml:space="preserve">Unmetered Loads </v>
      </c>
      <c r="C36" s="85">
        <f t="shared" si="3"/>
        <v>0</v>
      </c>
      <c r="D36" s="86">
        <f>D24</f>
        <v>1.0404</v>
      </c>
      <c r="E36" s="92">
        <f t="shared" si="4"/>
        <v>0</v>
      </c>
      <c r="F36" s="93">
        <v>9.5519999999999994E-2</v>
      </c>
      <c r="G36" s="94">
        <f t="shared" si="5"/>
        <v>0</v>
      </c>
    </row>
    <row r="37" spans="2:8">
      <c r="B37" s="61" t="str">
        <f>B25</f>
        <v>Embedded Distributor</v>
      </c>
      <c r="C37" s="85">
        <f t="shared" si="3"/>
        <v>31553438.348883525</v>
      </c>
      <c r="D37" s="86">
        <f>D25</f>
        <v>1.0049999999999999</v>
      </c>
      <c r="E37" s="92">
        <f t="shared" si="4"/>
        <v>31711205.540627938</v>
      </c>
      <c r="F37" s="93">
        <v>9.5519999999999994E-2</v>
      </c>
      <c r="G37" s="94">
        <f t="shared" si="5"/>
        <v>3029054.3532407805</v>
      </c>
    </row>
    <row r="38" spans="2:8">
      <c r="B38" s="88" t="s">
        <v>73</v>
      </c>
      <c r="C38" s="89">
        <f>SUM(C30:C37)</f>
        <v>775173849.25062108</v>
      </c>
      <c r="D38" s="90"/>
      <c r="E38" s="89">
        <f>SUM(E30:E37)</f>
        <v>802076632.3098973</v>
      </c>
      <c r="F38" s="95"/>
      <c r="G38" s="96">
        <f>SUM(G30:G37)</f>
        <v>75927399.241506159</v>
      </c>
    </row>
    <row r="39" spans="2:8">
      <c r="C39" s="53">
        <f>+C26+C38-C13</f>
        <v>0</v>
      </c>
      <c r="F39" s="321"/>
      <c r="G39" s="29"/>
    </row>
    <row r="40" spans="2:8">
      <c r="B40" s="142" t="s">
        <v>78</v>
      </c>
      <c r="C40" s="143"/>
      <c r="D40" s="144" t="s">
        <v>79</v>
      </c>
      <c r="E40" s="145"/>
      <c r="F40" s="146"/>
      <c r="G40" s="143"/>
    </row>
    <row r="41" spans="2:8">
      <c r="B41" s="141" t="s">
        <v>77</v>
      </c>
      <c r="C41" s="154"/>
      <c r="D41" s="147" t="s">
        <v>80</v>
      </c>
      <c r="E41" s="244">
        <v>2015</v>
      </c>
      <c r="F41" s="245"/>
      <c r="G41" s="246"/>
    </row>
    <row r="42" spans="2:8">
      <c r="B42" s="102" t="str">
        <f>B30</f>
        <v xml:space="preserve">Residential </v>
      </c>
      <c r="C42" s="92"/>
      <c r="D42" s="103" t="s">
        <v>71</v>
      </c>
      <c r="E42" s="92">
        <f>E18+E30</f>
        <v>420912952.57620186</v>
      </c>
      <c r="F42" s="104">
        <v>7.6E-3</v>
      </c>
      <c r="G42" s="94">
        <f t="shared" ref="G42:G49" si="6">E42*F42</f>
        <v>3198938.4395791339</v>
      </c>
    </row>
    <row r="43" spans="2:8">
      <c r="B43" s="102" t="str">
        <f>B31</f>
        <v>General Service &lt; 50 kW</v>
      </c>
      <c r="C43" s="92"/>
      <c r="D43" s="103" t="s">
        <v>71</v>
      </c>
      <c r="E43" s="92">
        <f>E19+E31</f>
        <v>202872824.19891927</v>
      </c>
      <c r="F43" s="104">
        <v>6.8999999999999999E-3</v>
      </c>
      <c r="G43" s="94">
        <f t="shared" si="6"/>
        <v>1399822.4869725429</v>
      </c>
    </row>
    <row r="44" spans="2:8">
      <c r="B44" s="102" t="str">
        <f>B32</f>
        <v>General Service &gt; 50 to 4999 kW</v>
      </c>
      <c r="C44" s="92"/>
      <c r="D44" s="103" t="s">
        <v>72</v>
      </c>
      <c r="E44" s="92">
        <f>D7</f>
        <v>1749824.0134108856</v>
      </c>
      <c r="F44" s="104">
        <v>2.8420999999999998</v>
      </c>
      <c r="G44" s="94">
        <f t="shared" si="6"/>
        <v>4973174.8285150779</v>
      </c>
      <c r="H44" s="195"/>
    </row>
    <row r="45" spans="2:8">
      <c r="B45" s="102" t="str">
        <f>B33</f>
        <v>Large User</v>
      </c>
      <c r="C45" s="92"/>
      <c r="D45" s="103" t="s">
        <v>72</v>
      </c>
      <c r="E45" s="92">
        <f>D8</f>
        <v>170072.65435918243</v>
      </c>
      <c r="F45" s="104">
        <v>3.3422999999999998</v>
      </c>
      <c r="G45" s="94">
        <f t="shared" si="6"/>
        <v>568433.83266469545</v>
      </c>
    </row>
    <row r="46" spans="2:8">
      <c r="B46" s="102" t="s">
        <v>93</v>
      </c>
      <c r="C46" s="92"/>
      <c r="D46" s="103" t="s">
        <v>72</v>
      </c>
      <c r="E46" s="92">
        <f t="shared" ref="E46:E49" si="7">D9</f>
        <v>12785.136115664116</v>
      </c>
      <c r="F46" s="104">
        <f>+F44</f>
        <v>2.8420999999999998</v>
      </c>
      <c r="G46" s="94">
        <f t="shared" si="6"/>
        <v>36336.635354328981</v>
      </c>
    </row>
    <row r="47" spans="2:8">
      <c r="B47" s="102" t="str">
        <f>B35</f>
        <v>Street Lights</v>
      </c>
      <c r="C47" s="92"/>
      <c r="D47" s="103" t="s">
        <v>72</v>
      </c>
      <c r="E47" s="92">
        <f t="shared" si="7"/>
        <v>21239.71699462146</v>
      </c>
      <c r="F47" s="104">
        <v>2.1436999999999999</v>
      </c>
      <c r="G47" s="94">
        <f t="shared" si="6"/>
        <v>45531.581321370024</v>
      </c>
    </row>
    <row r="48" spans="2:8">
      <c r="B48" s="102" t="str">
        <f>B36</f>
        <v xml:space="preserve">Unmetered Loads </v>
      </c>
      <c r="C48" s="92"/>
      <c r="D48" s="103" t="s">
        <v>71</v>
      </c>
      <c r="E48" s="92">
        <f t="shared" si="7"/>
        <v>0</v>
      </c>
      <c r="F48" s="104">
        <v>6.8999999999999999E-3</v>
      </c>
      <c r="G48" s="94">
        <f t="shared" si="6"/>
        <v>0</v>
      </c>
    </row>
    <row r="49" spans="2:8">
      <c r="B49" s="102" t="str">
        <f>B37</f>
        <v>Embedded Distributor</v>
      </c>
      <c r="C49" s="92"/>
      <c r="D49" s="103" t="s">
        <v>72</v>
      </c>
      <c r="E49" s="92">
        <f t="shared" si="7"/>
        <v>71802.963370070749</v>
      </c>
      <c r="F49" s="104">
        <v>0</v>
      </c>
      <c r="G49" s="94">
        <f t="shared" si="6"/>
        <v>0</v>
      </c>
      <c r="H49" s="195"/>
    </row>
    <row r="50" spans="2:8">
      <c r="B50" s="88" t="s">
        <v>73</v>
      </c>
      <c r="C50" s="89"/>
      <c r="D50" s="90"/>
      <c r="E50" s="89"/>
      <c r="F50" s="95"/>
      <c r="G50" s="105">
        <f>SUM(G42:G49)</f>
        <v>10222237.80440715</v>
      </c>
    </row>
    <row r="51" spans="2:8">
      <c r="F51" s="321"/>
      <c r="G51" s="29"/>
    </row>
    <row r="52" spans="2:8">
      <c r="B52" s="142" t="s">
        <v>81</v>
      </c>
      <c r="C52" s="143"/>
      <c r="D52" s="148" t="s">
        <v>79</v>
      </c>
      <c r="E52" s="145"/>
      <c r="F52" s="146"/>
      <c r="G52" s="143"/>
    </row>
    <row r="53" spans="2:8">
      <c r="B53" s="141" t="s">
        <v>77</v>
      </c>
      <c r="C53" s="154"/>
      <c r="D53" s="149" t="s">
        <v>80</v>
      </c>
      <c r="E53" s="244">
        <v>2015</v>
      </c>
      <c r="F53" s="245"/>
      <c r="G53" s="246"/>
    </row>
    <row r="54" spans="2:8">
      <c r="B54" s="102" t="str">
        <f>B42</f>
        <v xml:space="preserve">Residential </v>
      </c>
      <c r="C54" s="92"/>
      <c r="D54" s="103" t="str">
        <f t="shared" ref="D54:E61" si="8">D42</f>
        <v>kWh</v>
      </c>
      <c r="E54" s="92">
        <f t="shared" si="8"/>
        <v>420912952.57620186</v>
      </c>
      <c r="F54" s="104">
        <v>2.3E-3</v>
      </c>
      <c r="G54" s="94">
        <f t="shared" ref="G54:G61" si="9">E54*F54</f>
        <v>968099.79092526424</v>
      </c>
    </row>
    <row r="55" spans="2:8">
      <c r="B55" s="102" t="str">
        <f>B43</f>
        <v>General Service &lt; 50 kW</v>
      </c>
      <c r="C55" s="92"/>
      <c r="D55" s="103" t="str">
        <f t="shared" si="8"/>
        <v>kWh</v>
      </c>
      <c r="E55" s="92">
        <f t="shared" si="8"/>
        <v>202872824.19891927</v>
      </c>
      <c r="F55" s="104">
        <v>2.0999999999999999E-3</v>
      </c>
      <c r="G55" s="94">
        <f t="shared" si="9"/>
        <v>426032.93081773043</v>
      </c>
    </row>
    <row r="56" spans="2:8">
      <c r="B56" s="102" t="str">
        <f>B44</f>
        <v>General Service &gt; 50 to 4999 kW</v>
      </c>
      <c r="C56" s="92"/>
      <c r="D56" s="103" t="str">
        <f t="shared" si="8"/>
        <v>kW</v>
      </c>
      <c r="E56" s="92">
        <f t="shared" si="8"/>
        <v>1749824.0134108856</v>
      </c>
      <c r="F56" s="104">
        <v>0.8165</v>
      </c>
      <c r="G56" s="94">
        <f t="shared" si="9"/>
        <v>1428731.306949988</v>
      </c>
      <c r="H56" s="195"/>
    </row>
    <row r="57" spans="2:8">
      <c r="B57" s="102" t="str">
        <f>B45</f>
        <v>Large User</v>
      </c>
      <c r="C57" s="92"/>
      <c r="D57" s="103" t="str">
        <f t="shared" si="8"/>
        <v>kW</v>
      </c>
      <c r="E57" s="92">
        <f t="shared" si="8"/>
        <v>170072.65435918243</v>
      </c>
      <c r="F57" s="104">
        <v>1.0234000000000001</v>
      </c>
      <c r="G57" s="94">
        <f t="shared" si="9"/>
        <v>174052.35447118731</v>
      </c>
    </row>
    <row r="58" spans="2:8">
      <c r="B58" s="102" t="s">
        <v>93</v>
      </c>
      <c r="C58" s="92"/>
      <c r="D58" s="103" t="str">
        <f t="shared" si="8"/>
        <v>kW</v>
      </c>
      <c r="E58" s="92">
        <f t="shared" si="8"/>
        <v>12785.136115664116</v>
      </c>
      <c r="F58" s="104">
        <f>+F56</f>
        <v>0.8165</v>
      </c>
      <c r="G58" s="94">
        <f t="shared" si="9"/>
        <v>10439.063638439751</v>
      </c>
    </row>
    <row r="59" spans="2:8">
      <c r="B59" s="102" t="str">
        <f>B47</f>
        <v>Street Lights</v>
      </c>
      <c r="C59" s="92"/>
      <c r="D59" s="103" t="str">
        <f t="shared" si="8"/>
        <v>kW</v>
      </c>
      <c r="E59" s="92">
        <f t="shared" si="8"/>
        <v>21239.71699462146</v>
      </c>
      <c r="F59" s="104">
        <v>0.63100000000000001</v>
      </c>
      <c r="G59" s="94">
        <f t="shared" si="9"/>
        <v>13402.261423606142</v>
      </c>
    </row>
    <row r="60" spans="2:8">
      <c r="B60" s="102" t="str">
        <f>B48</f>
        <v xml:space="preserve">Unmetered Loads </v>
      </c>
      <c r="C60" s="92"/>
      <c r="D60" s="103" t="str">
        <f t="shared" si="8"/>
        <v>kWh</v>
      </c>
      <c r="E60" s="92">
        <f t="shared" si="8"/>
        <v>0</v>
      </c>
      <c r="F60" s="104">
        <v>2.0999999999999999E-3</v>
      </c>
      <c r="G60" s="94">
        <f t="shared" si="9"/>
        <v>0</v>
      </c>
    </row>
    <row r="61" spans="2:8">
      <c r="B61" s="102" t="str">
        <f>B49</f>
        <v>Embedded Distributor</v>
      </c>
      <c r="C61" s="92"/>
      <c r="D61" s="103" t="str">
        <f t="shared" si="8"/>
        <v>kW</v>
      </c>
      <c r="E61" s="92">
        <f t="shared" si="8"/>
        <v>71802.963370070749</v>
      </c>
      <c r="F61" s="104">
        <v>0</v>
      </c>
      <c r="G61" s="94">
        <f t="shared" si="9"/>
        <v>0</v>
      </c>
      <c r="H61" s="195"/>
    </row>
    <row r="62" spans="2:8">
      <c r="B62" s="88" t="s">
        <v>73</v>
      </c>
      <c r="C62" s="89"/>
      <c r="D62" s="90"/>
      <c r="E62" s="89"/>
      <c r="F62" s="95"/>
      <c r="G62" s="105">
        <f>SUM(G54:G61)</f>
        <v>3020757.7082262156</v>
      </c>
    </row>
    <row r="64" spans="2:8">
      <c r="B64" s="142" t="s">
        <v>82</v>
      </c>
      <c r="C64" s="143"/>
      <c r="D64" s="148"/>
      <c r="E64" s="145"/>
      <c r="F64" s="146"/>
      <c r="G64" s="143"/>
    </row>
    <row r="65" spans="2:8">
      <c r="B65" s="141" t="s">
        <v>77</v>
      </c>
      <c r="C65" s="154"/>
      <c r="D65" s="149"/>
      <c r="E65" s="244">
        <v>2015</v>
      </c>
      <c r="F65" s="245"/>
      <c r="G65" s="247"/>
    </row>
    <row r="66" spans="2:8">
      <c r="B66" s="102" t="str">
        <f>B54</f>
        <v xml:space="preserve">Residential </v>
      </c>
      <c r="C66" s="92"/>
      <c r="D66" s="103" t="s">
        <v>71</v>
      </c>
      <c r="E66" s="92">
        <f t="shared" ref="E66:E73" si="10">E18+E30</f>
        <v>420912952.57620186</v>
      </c>
      <c r="F66" s="104">
        <v>4.4000000000000003E-3</v>
      </c>
      <c r="G66" s="94">
        <f t="shared" ref="G66:G73" si="11">E66*F66</f>
        <v>1852016.9913352884</v>
      </c>
      <c r="H66" s="195"/>
    </row>
    <row r="67" spans="2:8">
      <c r="B67" s="102" t="str">
        <f>B55</f>
        <v>General Service &lt; 50 kW</v>
      </c>
      <c r="C67" s="92"/>
      <c r="D67" s="103" t="s">
        <v>71</v>
      </c>
      <c r="E67" s="92">
        <f t="shared" si="10"/>
        <v>202872824.19891927</v>
      </c>
      <c r="F67" s="104">
        <v>4.4000000000000003E-3</v>
      </c>
      <c r="G67" s="94">
        <f t="shared" si="11"/>
        <v>892640.42647524481</v>
      </c>
    </row>
    <row r="68" spans="2:8">
      <c r="B68" s="102" t="str">
        <f>B56</f>
        <v>General Service &gt; 50 to 4999 kW</v>
      </c>
      <c r="C68" s="92"/>
      <c r="D68" s="103" t="s">
        <v>71</v>
      </c>
      <c r="E68" s="92">
        <f t="shared" si="10"/>
        <v>740348255.31035125</v>
      </c>
      <c r="F68" s="104">
        <v>4.4000000000000003E-3</v>
      </c>
      <c r="G68" s="94">
        <f t="shared" si="11"/>
        <v>3257532.3233655458</v>
      </c>
    </row>
    <row r="69" spans="2:8">
      <c r="B69" s="102" t="str">
        <f>B57</f>
        <v>Large User</v>
      </c>
      <c r="C69" s="92"/>
      <c r="D69" s="103" t="s">
        <v>71</v>
      </c>
      <c r="E69" s="92">
        <f t="shared" si="10"/>
        <v>93608332.671268702</v>
      </c>
      <c r="F69" s="104">
        <v>4.4000000000000003E-3</v>
      </c>
      <c r="G69" s="94">
        <f t="shared" si="11"/>
        <v>411876.66375358234</v>
      </c>
    </row>
    <row r="70" spans="2:8">
      <c r="B70" s="102" t="s">
        <v>93</v>
      </c>
      <c r="C70" s="92"/>
      <c r="D70" s="103" t="s">
        <v>71</v>
      </c>
      <c r="E70" s="92">
        <f t="shared" si="10"/>
        <v>7191799.3795563942</v>
      </c>
      <c r="F70" s="104">
        <v>0</v>
      </c>
      <c r="G70" s="94">
        <f t="shared" si="11"/>
        <v>0</v>
      </c>
      <c r="H70" s="195"/>
    </row>
    <row r="71" spans="2:8">
      <c r="B71" s="102" t="str">
        <f>B59</f>
        <v>Street Lights</v>
      </c>
      <c r="C71" s="92"/>
      <c r="D71" s="103" t="s">
        <v>71</v>
      </c>
      <c r="E71" s="92">
        <f t="shared" si="10"/>
        <v>7948300.0733369542</v>
      </c>
      <c r="F71" s="104">
        <v>4.4000000000000003E-3</v>
      </c>
      <c r="G71" s="94">
        <f t="shared" si="11"/>
        <v>34972.520322682598</v>
      </c>
    </row>
    <row r="72" spans="2:8">
      <c r="B72" s="102" t="str">
        <f>B60</f>
        <v xml:space="preserve">Unmetered Loads </v>
      </c>
      <c r="C72" s="92"/>
      <c r="D72" s="103" t="s">
        <v>71</v>
      </c>
      <c r="E72" s="92">
        <f t="shared" si="10"/>
        <v>2943689.2041108198</v>
      </c>
      <c r="F72" s="104">
        <v>4.4000000000000003E-3</v>
      </c>
      <c r="G72" s="94">
        <f t="shared" si="11"/>
        <v>12952.232498087607</v>
      </c>
    </row>
    <row r="73" spans="2:8">
      <c r="B73" s="102" t="str">
        <f>B61</f>
        <v>Embedded Distributor</v>
      </c>
      <c r="C73" s="92"/>
      <c r="D73" s="103" t="s">
        <v>71</v>
      </c>
      <c r="E73" s="92">
        <f t="shared" si="10"/>
        <v>31711205.540627938</v>
      </c>
      <c r="F73" s="104">
        <v>4.4000000000000003E-3</v>
      </c>
      <c r="G73" s="94">
        <f t="shared" si="11"/>
        <v>139529.30437876293</v>
      </c>
    </row>
    <row r="74" spans="2:8">
      <c r="B74" s="88" t="s">
        <v>73</v>
      </c>
      <c r="C74" s="89"/>
      <c r="D74" s="90"/>
      <c r="E74" s="89">
        <f>SUM(E66:E73)</f>
        <v>1507537358.9543731</v>
      </c>
      <c r="F74" s="95"/>
      <c r="G74" s="105">
        <f>SUM(G66:G73)</f>
        <v>6601520.4621291943</v>
      </c>
    </row>
    <row r="76" spans="2:8">
      <c r="B76" s="142" t="s">
        <v>83</v>
      </c>
      <c r="C76" s="143"/>
      <c r="D76" s="148"/>
      <c r="E76" s="145"/>
      <c r="F76" s="146"/>
      <c r="G76" s="143"/>
    </row>
    <row r="77" spans="2:8">
      <c r="B77" s="141" t="s">
        <v>77</v>
      </c>
      <c r="C77" s="154"/>
      <c r="D77" s="149"/>
      <c r="E77" s="248">
        <v>2015</v>
      </c>
      <c r="F77" s="245"/>
      <c r="G77" s="246"/>
    </row>
    <row r="78" spans="2:8">
      <c r="B78" s="102" t="str">
        <f>B66</f>
        <v xml:space="preserve">Residential </v>
      </c>
      <c r="C78" s="92"/>
      <c r="D78" s="103" t="s">
        <v>71</v>
      </c>
      <c r="E78" s="92">
        <f>E66</f>
        <v>420912952.57620186</v>
      </c>
      <c r="F78" s="104">
        <v>1.2999999999999999E-3</v>
      </c>
      <c r="G78" s="94">
        <f t="shared" ref="G78:G85" si="12">E78*F78</f>
        <v>547186.83834906237</v>
      </c>
      <c r="H78" s="195"/>
    </row>
    <row r="79" spans="2:8">
      <c r="B79" s="102" t="str">
        <f>B67</f>
        <v>General Service &lt; 50 kW</v>
      </c>
      <c r="C79" s="92"/>
      <c r="D79" s="103" t="s">
        <v>71</v>
      </c>
      <c r="E79" s="92">
        <f>E67</f>
        <v>202872824.19891927</v>
      </c>
      <c r="F79" s="104">
        <v>1.2999999999999999E-3</v>
      </c>
      <c r="G79" s="94">
        <f t="shared" si="12"/>
        <v>263734.67145859502</v>
      </c>
    </row>
    <row r="80" spans="2:8">
      <c r="B80" s="102" t="str">
        <f>B68</f>
        <v>General Service &gt; 50 to 4999 kW</v>
      </c>
      <c r="C80" s="92"/>
      <c r="D80" s="103" t="s">
        <v>71</v>
      </c>
      <c r="E80" s="92">
        <f>E68</f>
        <v>740348255.31035125</v>
      </c>
      <c r="F80" s="104">
        <v>1.2999999999999999E-3</v>
      </c>
      <c r="G80" s="94">
        <f t="shared" si="12"/>
        <v>962452.73190345662</v>
      </c>
    </row>
    <row r="81" spans="2:9">
      <c r="B81" s="102" t="str">
        <f>B69</f>
        <v>Large User</v>
      </c>
      <c r="C81" s="92"/>
      <c r="D81" s="103" t="s">
        <v>71</v>
      </c>
      <c r="E81" s="92">
        <f>E69</f>
        <v>93608332.671268702</v>
      </c>
      <c r="F81" s="104">
        <v>1.2999999999999999E-3</v>
      </c>
      <c r="G81" s="94">
        <f t="shared" si="12"/>
        <v>121690.8324726493</v>
      </c>
    </row>
    <row r="82" spans="2:9">
      <c r="B82" s="102" t="s">
        <v>93</v>
      </c>
      <c r="C82" s="92"/>
      <c r="D82" s="103" t="s">
        <v>71</v>
      </c>
      <c r="E82" s="92">
        <f>E70</f>
        <v>7191799.3795563942</v>
      </c>
      <c r="F82" s="104">
        <v>0</v>
      </c>
      <c r="G82" s="94">
        <f t="shared" si="12"/>
        <v>0</v>
      </c>
      <c r="H82" s="195"/>
    </row>
    <row r="83" spans="2:9">
      <c r="B83" s="102" t="str">
        <f t="shared" ref="B83:B85" si="13">B71</f>
        <v>Street Lights</v>
      </c>
      <c r="C83" s="92"/>
      <c r="D83" s="103" t="s">
        <v>71</v>
      </c>
      <c r="E83" s="92">
        <f t="shared" ref="E83:E85" si="14">E71</f>
        <v>7948300.0733369542</v>
      </c>
      <c r="F83" s="104">
        <v>1.2999999999999999E-3</v>
      </c>
      <c r="G83" s="94">
        <f t="shared" si="12"/>
        <v>10332.790095338039</v>
      </c>
    </row>
    <row r="84" spans="2:9">
      <c r="B84" s="102" t="str">
        <f t="shared" si="13"/>
        <v xml:space="preserve">Unmetered Loads </v>
      </c>
      <c r="C84" s="92"/>
      <c r="D84" s="103" t="s">
        <v>71</v>
      </c>
      <c r="E84" s="92">
        <f t="shared" si="14"/>
        <v>2943689.2041108198</v>
      </c>
      <c r="F84" s="104">
        <v>1.2999999999999999E-3</v>
      </c>
      <c r="G84" s="94">
        <f t="shared" si="12"/>
        <v>3826.7959653440657</v>
      </c>
    </row>
    <row r="85" spans="2:9">
      <c r="B85" s="102" t="str">
        <f t="shared" si="13"/>
        <v>Embedded Distributor</v>
      </c>
      <c r="C85" s="92"/>
      <c r="D85" s="103" t="s">
        <v>71</v>
      </c>
      <c r="E85" s="92">
        <f t="shared" si="14"/>
        <v>31711205.540627938</v>
      </c>
      <c r="F85" s="104">
        <v>1.2999999999999999E-3</v>
      </c>
      <c r="G85" s="94">
        <f t="shared" si="12"/>
        <v>41224.567202816317</v>
      </c>
    </row>
    <row r="86" spans="2:9">
      <c r="B86" s="88" t="s">
        <v>73</v>
      </c>
      <c r="C86" s="89"/>
      <c r="D86" s="90"/>
      <c r="E86" s="89">
        <f>SUM(E78:E85)</f>
        <v>1507537358.9543731</v>
      </c>
      <c r="F86" s="95"/>
      <c r="G86" s="105">
        <f>SUM(G78:G85)</f>
        <v>1950449.227447262</v>
      </c>
    </row>
    <row r="87" spans="2:9" ht="13.8" thickBot="1"/>
    <row r="88" spans="2:9" ht="13.8" thickBot="1">
      <c r="B88" s="150"/>
      <c r="C88" s="151">
        <v>2015</v>
      </c>
      <c r="H88" s="249">
        <v>2015</v>
      </c>
      <c r="I88" s="250"/>
    </row>
    <row r="89" spans="2:9" ht="13.8" thickBot="1">
      <c r="B89" s="59"/>
      <c r="C89" s="106"/>
      <c r="H89" s="228" t="s">
        <v>166</v>
      </c>
      <c r="I89" s="229" t="s">
        <v>167</v>
      </c>
    </row>
    <row r="90" spans="2:9">
      <c r="B90" s="57" t="s">
        <v>84</v>
      </c>
      <c r="C90" s="107">
        <f>G26+G38</f>
        <v>142917949.8436656</v>
      </c>
      <c r="H90" s="224">
        <f>-G18</f>
        <v>-39969893.976636127</v>
      </c>
      <c r="I90" s="226">
        <v>4006</v>
      </c>
    </row>
    <row r="91" spans="2:9">
      <c r="B91" s="57" t="s">
        <v>85</v>
      </c>
      <c r="C91" s="108">
        <f>G74</f>
        <v>6601520.4621291943</v>
      </c>
      <c r="D91" s="230">
        <f>+C91+C94</f>
        <v>8551969.6895764563</v>
      </c>
      <c r="H91" s="224">
        <f>-+G33</f>
        <v>-8941467.9367595855</v>
      </c>
      <c r="I91" s="226">
        <v>4020</v>
      </c>
    </row>
    <row r="92" spans="2:9">
      <c r="B92" s="57" t="s">
        <v>86</v>
      </c>
      <c r="C92" s="108">
        <f>G50</f>
        <v>10222237.80440715</v>
      </c>
      <c r="H92" s="224">
        <f>-(+G23+G35)</f>
        <v>-759079.18946783163</v>
      </c>
      <c r="I92" s="226">
        <v>4025</v>
      </c>
    </row>
    <row r="93" spans="2:9">
      <c r="B93" s="57" t="s">
        <v>87</v>
      </c>
      <c r="C93" s="108">
        <f>G62</f>
        <v>3020757.7082262156</v>
      </c>
      <c r="H93" s="224">
        <f>-(+G20+G24+G32+G37+G19)</f>
        <v>-93247508.74080205</v>
      </c>
      <c r="I93" s="226">
        <v>4035</v>
      </c>
    </row>
    <row r="94" spans="2:9">
      <c r="B94" s="57" t="s">
        <v>88</v>
      </c>
      <c r="C94" s="108">
        <f>G86</f>
        <v>1950449.227447262</v>
      </c>
      <c r="H94" s="224">
        <f>-C91-C94</f>
        <v>-8551969.6895764563</v>
      </c>
      <c r="I94" s="226">
        <v>4062</v>
      </c>
    </row>
    <row r="95" spans="2:9">
      <c r="B95" s="57" t="s">
        <v>89</v>
      </c>
      <c r="C95" s="107">
        <v>272000</v>
      </c>
      <c r="E95" s="29"/>
      <c r="H95" s="224">
        <f>-C92</f>
        <v>-10222237.80440715</v>
      </c>
      <c r="I95" s="226">
        <v>4066</v>
      </c>
    </row>
    <row r="96" spans="2:9">
      <c r="B96" s="57" t="s">
        <v>128</v>
      </c>
      <c r="C96" s="107">
        <v>498492</v>
      </c>
      <c r="E96" s="222"/>
      <c r="H96" s="224">
        <f>-C93</f>
        <v>-3020757.7082262156</v>
      </c>
      <c r="I96" s="226">
        <v>4068</v>
      </c>
    </row>
    <row r="97" spans="2:11">
      <c r="B97" s="64" t="s">
        <v>73</v>
      </c>
      <c r="C97" s="89">
        <f>SUM(C90:C96)</f>
        <v>165483407.04587543</v>
      </c>
      <c r="H97" s="224">
        <f>-C95</f>
        <v>-272000</v>
      </c>
      <c r="I97" s="226">
        <v>4075</v>
      </c>
      <c r="K97" s="29"/>
    </row>
    <row r="98" spans="2:11">
      <c r="H98" s="224">
        <f>-C96</f>
        <v>-498492</v>
      </c>
      <c r="I98" s="226">
        <v>4076</v>
      </c>
    </row>
    <row r="99" spans="2:11" ht="13.8" thickBot="1">
      <c r="H99" s="225">
        <f>SUM(H90:H98)</f>
        <v>-165483407.0458754</v>
      </c>
      <c r="I99" s="227"/>
    </row>
    <row r="100" spans="2:11">
      <c r="H100" s="53">
        <f>+H99+C97</f>
        <v>0</v>
      </c>
    </row>
  </sheetData>
  <mergeCells count="12">
    <mergeCell ref="H88:I88"/>
    <mergeCell ref="B3:E3"/>
    <mergeCell ref="C16:C17"/>
    <mergeCell ref="D16:D17"/>
    <mergeCell ref="E16:G17"/>
    <mergeCell ref="C28:C29"/>
    <mergeCell ref="D28:D29"/>
    <mergeCell ref="E28:G29"/>
    <mergeCell ref="E41:G41"/>
    <mergeCell ref="E53:G53"/>
    <mergeCell ref="E65:G65"/>
    <mergeCell ref="E77:G77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0"/>
  <sheetViews>
    <sheetView tabSelected="1" topLeftCell="A85" workbookViewId="0">
      <selection activeCell="B8" sqref="B8"/>
    </sheetView>
  </sheetViews>
  <sheetFormatPr defaultRowHeight="13.2"/>
  <cols>
    <col min="1" max="1" width="1.33203125" customWidth="1"/>
    <col min="2" max="2" width="31.6640625" bestFit="1" customWidth="1"/>
    <col min="3" max="3" width="18.88671875" customWidth="1"/>
    <col min="4" max="4" width="18" bestFit="1" customWidth="1"/>
    <col min="5" max="5" width="13.44140625" bestFit="1" customWidth="1"/>
    <col min="6" max="6" width="9.33203125" bestFit="1" customWidth="1"/>
    <col min="7" max="7" width="11.6640625" bestFit="1" customWidth="1"/>
    <col min="8" max="8" width="14.88671875" customWidth="1"/>
    <col min="9" max="9" width="12" bestFit="1" customWidth="1"/>
    <col min="10" max="10" width="12.33203125" bestFit="1" customWidth="1"/>
  </cols>
  <sheetData>
    <row r="2" spans="2:12" ht="13.8" thickBot="1"/>
    <row r="3" spans="2:12" ht="13.8" thickBot="1">
      <c r="B3" s="251" t="s">
        <v>132</v>
      </c>
      <c r="C3" s="252"/>
      <c r="D3" s="252"/>
      <c r="E3" s="253"/>
    </row>
    <row r="4" spans="2:12">
      <c r="B4" s="152" t="s">
        <v>133</v>
      </c>
      <c r="C4" s="65" t="s">
        <v>71</v>
      </c>
      <c r="D4" s="65" t="s">
        <v>72</v>
      </c>
      <c r="E4" s="65" t="s">
        <v>127</v>
      </c>
    </row>
    <row r="5" spans="2:12">
      <c r="B5" s="84" t="s">
        <v>1</v>
      </c>
      <c r="C5" s="85">
        <f>Summary!O15</f>
        <v>399341267.63941514</v>
      </c>
      <c r="D5" s="86"/>
      <c r="E5" s="139">
        <v>1</v>
      </c>
    </row>
    <row r="6" spans="2:12">
      <c r="B6" s="84" t="s">
        <v>130</v>
      </c>
      <c r="C6" s="85">
        <f>Summary!O19</f>
        <v>192108794.68761566</v>
      </c>
      <c r="D6" s="86"/>
      <c r="E6" s="139">
        <v>1</v>
      </c>
    </row>
    <row r="7" spans="2:12">
      <c r="B7" s="220" t="s">
        <v>156</v>
      </c>
      <c r="C7" s="85">
        <f>Summary!O23</f>
        <v>710364299.16911459</v>
      </c>
      <c r="D7" s="87">
        <f>Summary!O24</f>
        <v>1746786.3333798393</v>
      </c>
      <c r="E7" s="139">
        <v>0.106</v>
      </c>
      <c r="G7" s="188"/>
    </row>
    <row r="8" spans="2:12">
      <c r="B8" s="84" t="s">
        <v>94</v>
      </c>
      <c r="C8" s="85">
        <f>Summary!O28</f>
        <v>95063905.676509753</v>
      </c>
      <c r="D8" s="87">
        <f>Summary!O29</f>
        <v>173580.8037846073</v>
      </c>
      <c r="E8" s="139">
        <v>0</v>
      </c>
      <c r="G8" s="188"/>
    </row>
    <row r="9" spans="2:12">
      <c r="B9" s="84" t="s">
        <v>93</v>
      </c>
      <c r="C9" s="85">
        <f>+Summary!O33</f>
        <v>6823514.014417313</v>
      </c>
      <c r="D9" s="87">
        <f>+Summary!O34</f>
        <v>12620.490187771175</v>
      </c>
      <c r="E9" s="139">
        <v>0</v>
      </c>
      <c r="G9" s="188"/>
    </row>
    <row r="10" spans="2:12">
      <c r="B10" s="84" t="s">
        <v>64</v>
      </c>
      <c r="C10" s="85">
        <f>Summary!O38</f>
        <v>7594659.600579272</v>
      </c>
      <c r="D10" s="87">
        <f>Summary!O39</f>
        <v>21114.613090851304</v>
      </c>
      <c r="E10" s="139">
        <v>3.2000000000000001E-2</v>
      </c>
      <c r="G10" s="188"/>
    </row>
    <row r="11" spans="2:12">
      <c r="B11" s="84" t="s">
        <v>2</v>
      </c>
      <c r="C11" s="85">
        <f>Summary!O43</f>
        <v>3140371.9950475856</v>
      </c>
      <c r="D11" s="87"/>
      <c r="E11" s="139">
        <v>1</v>
      </c>
      <c r="G11" s="188"/>
    </row>
    <row r="12" spans="2:12">
      <c r="B12" s="220" t="s">
        <v>67</v>
      </c>
      <c r="C12" s="85">
        <f>Summary!O47</f>
        <v>31378863.308056679</v>
      </c>
      <c r="D12" s="87">
        <f>+Summary!O48</f>
        <v>71405.700633654502</v>
      </c>
      <c r="E12" s="139">
        <v>0</v>
      </c>
    </row>
    <row r="13" spans="2:12">
      <c r="B13" s="88" t="s">
        <v>73</v>
      </c>
      <c r="C13" s="89">
        <f>SUM(C5:C12)</f>
        <v>1445815676.0907559</v>
      </c>
      <c r="D13" s="89">
        <f>SUM(D5:D12)</f>
        <v>2025507.9410767236</v>
      </c>
      <c r="E13" s="89"/>
    </row>
    <row r="14" spans="2:12">
      <c r="C14" s="53">
        <f>+C13-Summary!O10</f>
        <v>0</v>
      </c>
      <c r="D14" s="53">
        <f>+D13-Summary!O53</f>
        <v>0</v>
      </c>
    </row>
    <row r="15" spans="2:12">
      <c r="D15" s="270"/>
      <c r="E15" s="29"/>
      <c r="F15" s="29"/>
      <c r="G15" s="29"/>
      <c r="H15" s="29"/>
      <c r="I15" s="29"/>
      <c r="J15" s="29"/>
      <c r="K15" s="29"/>
      <c r="L15" s="29"/>
    </row>
    <row r="16" spans="2:12">
      <c r="B16" s="140" t="s">
        <v>74</v>
      </c>
      <c r="C16" s="254" t="s">
        <v>134</v>
      </c>
      <c r="D16" s="256" t="s">
        <v>135</v>
      </c>
      <c r="E16" s="258">
        <v>2016</v>
      </c>
      <c r="F16" s="259"/>
      <c r="G16" s="260"/>
    </row>
    <row r="17" spans="2:8">
      <c r="B17" s="141" t="s">
        <v>75</v>
      </c>
      <c r="C17" s="255"/>
      <c r="D17" s="257"/>
      <c r="E17" s="244"/>
      <c r="F17" s="245"/>
      <c r="G17" s="246"/>
    </row>
    <row r="18" spans="2:8">
      <c r="B18" s="61" t="str">
        <f>B5</f>
        <v xml:space="preserve">Residential </v>
      </c>
      <c r="C18" s="85">
        <f t="shared" ref="C18:C25" si="0">C5*E5</f>
        <v>399341267.63941514</v>
      </c>
      <c r="D18" s="91">
        <v>1.0362</v>
      </c>
      <c r="E18" s="92">
        <f t="shared" ref="E18:E25" si="1">C18*D18</f>
        <v>413797421.52796197</v>
      </c>
      <c r="F18" s="322">
        <v>9.4960000000000003E-2</v>
      </c>
      <c r="G18" s="94">
        <f t="shared" ref="G18:G25" si="2">E18*F18</f>
        <v>39294203.148295268</v>
      </c>
    </row>
    <row r="19" spans="2:8">
      <c r="B19" s="61" t="str">
        <f>B6</f>
        <v>General Service &lt; 50 kW</v>
      </c>
      <c r="C19" s="85">
        <f t="shared" si="0"/>
        <v>192108794.68761566</v>
      </c>
      <c r="D19" s="91">
        <v>1.0362</v>
      </c>
      <c r="E19" s="92">
        <f>C19*D19</f>
        <v>199063133.05530736</v>
      </c>
      <c r="F19" s="322">
        <v>9.4960000000000003E-2</v>
      </c>
      <c r="G19" s="94">
        <f t="shared" si="2"/>
        <v>18903035.114931986</v>
      </c>
    </row>
    <row r="20" spans="2:8">
      <c r="B20" s="61" t="str">
        <f>B7</f>
        <v>General Service &gt; 50 to 4999 kW</v>
      </c>
      <c r="C20" s="85">
        <f t="shared" si="0"/>
        <v>75298615.711926147</v>
      </c>
      <c r="D20" s="91">
        <v>1.0362</v>
      </c>
      <c r="E20" s="92">
        <f>C20*D20</f>
        <v>78024425.600697875</v>
      </c>
      <c r="F20" s="322">
        <v>9.4960000000000003E-2</v>
      </c>
      <c r="G20" s="94">
        <f t="shared" si="2"/>
        <v>7409199.45504227</v>
      </c>
    </row>
    <row r="21" spans="2:8">
      <c r="B21" s="61" t="str">
        <f>B8</f>
        <v>Large User</v>
      </c>
      <c r="C21" s="85">
        <f t="shared" si="0"/>
        <v>0</v>
      </c>
      <c r="D21" s="91">
        <v>1.0046999999999999</v>
      </c>
      <c r="E21" s="92">
        <f t="shared" si="1"/>
        <v>0</v>
      </c>
      <c r="F21" s="322">
        <v>9.4960000000000003E-2</v>
      </c>
      <c r="G21" s="94">
        <f t="shared" si="2"/>
        <v>0</v>
      </c>
    </row>
    <row r="22" spans="2:8">
      <c r="B22" s="61" t="s">
        <v>93</v>
      </c>
      <c r="C22" s="85">
        <f t="shared" si="0"/>
        <v>0</v>
      </c>
      <c r="D22" s="91">
        <v>1.0362</v>
      </c>
      <c r="E22" s="92">
        <f t="shared" si="1"/>
        <v>0</v>
      </c>
      <c r="F22" s="322">
        <v>0</v>
      </c>
      <c r="G22" s="94">
        <f t="shared" si="2"/>
        <v>0</v>
      </c>
      <c r="H22" s="195"/>
    </row>
    <row r="23" spans="2:8">
      <c r="B23" s="61" t="str">
        <f>B10</f>
        <v>Street Lights</v>
      </c>
      <c r="C23" s="85">
        <f t="shared" si="0"/>
        <v>243029.10721853672</v>
      </c>
      <c r="D23" s="91">
        <v>1.0362</v>
      </c>
      <c r="E23" s="92">
        <f t="shared" si="1"/>
        <v>251826.76089984775</v>
      </c>
      <c r="F23" s="322">
        <v>9.4960000000000003E-2</v>
      </c>
      <c r="G23" s="94">
        <f t="shared" si="2"/>
        <v>23913.469215049543</v>
      </c>
    </row>
    <row r="24" spans="2:8">
      <c r="B24" s="61" t="str">
        <f>B11</f>
        <v xml:space="preserve">Unmetered Loads </v>
      </c>
      <c r="C24" s="85">
        <f t="shared" si="0"/>
        <v>3140371.9950475856</v>
      </c>
      <c r="D24" s="91">
        <v>1.0362</v>
      </c>
      <c r="E24" s="92">
        <f t="shared" si="1"/>
        <v>3254053.4612683081</v>
      </c>
      <c r="F24" s="322">
        <v>9.4960000000000003E-2</v>
      </c>
      <c r="G24" s="94">
        <f t="shared" si="2"/>
        <v>309004.91668203857</v>
      </c>
    </row>
    <row r="25" spans="2:8">
      <c r="B25" s="61" t="str">
        <f>B12</f>
        <v>Embedded Distributors</v>
      </c>
      <c r="C25" s="85">
        <f t="shared" si="0"/>
        <v>0</v>
      </c>
      <c r="D25" s="91">
        <v>1.0046999999999999</v>
      </c>
      <c r="E25" s="92">
        <f t="shared" si="1"/>
        <v>0</v>
      </c>
      <c r="F25" s="322">
        <v>9.4960000000000003E-2</v>
      </c>
      <c r="G25" s="94">
        <f t="shared" si="2"/>
        <v>0</v>
      </c>
    </row>
    <row r="26" spans="2:8">
      <c r="B26" s="88" t="s">
        <v>73</v>
      </c>
      <c r="C26" s="89">
        <f>SUM(C18:C25)</f>
        <v>670132079.14122295</v>
      </c>
      <c r="D26" s="90"/>
      <c r="E26" s="89">
        <f>SUM(E18:E25)</f>
        <v>694390860.40613544</v>
      </c>
      <c r="F26" s="155"/>
      <c r="G26" s="96">
        <f>SUM(G18:G25)</f>
        <v>65939356.104166619</v>
      </c>
    </row>
    <row r="27" spans="2:8">
      <c r="B27" s="97"/>
      <c r="C27" s="98"/>
      <c r="D27" s="99"/>
      <c r="E27" s="98"/>
      <c r="F27" s="100"/>
      <c r="G27" s="101"/>
    </row>
    <row r="28" spans="2:8">
      <c r="B28" s="140" t="s">
        <v>76</v>
      </c>
      <c r="C28" s="254" t="s">
        <v>134</v>
      </c>
      <c r="D28" s="256" t="s">
        <v>135</v>
      </c>
      <c r="E28" s="258">
        <v>2016</v>
      </c>
      <c r="F28" s="259"/>
      <c r="G28" s="260"/>
    </row>
    <row r="29" spans="2:8">
      <c r="B29" s="141" t="s">
        <v>77</v>
      </c>
      <c r="C29" s="255"/>
      <c r="D29" s="257"/>
      <c r="E29" s="244"/>
      <c r="F29" s="245"/>
      <c r="G29" s="246"/>
    </row>
    <row r="30" spans="2:8">
      <c r="B30" s="61" t="str">
        <f>B18</f>
        <v xml:space="preserve">Residential </v>
      </c>
      <c r="C30" s="85">
        <f t="shared" ref="C30:C37" si="3">C5-C18</f>
        <v>0</v>
      </c>
      <c r="D30" s="86">
        <f t="shared" ref="D30:D37" si="4">D18</f>
        <v>1.0362</v>
      </c>
      <c r="E30" s="92">
        <f t="shared" ref="E30:E37" si="5">C30*D30</f>
        <v>0</v>
      </c>
      <c r="F30" s="93">
        <v>9.5519999999999994E-2</v>
      </c>
      <c r="G30" s="94">
        <f t="shared" ref="G30:G37" si="6">E30*F30</f>
        <v>0</v>
      </c>
    </row>
    <row r="31" spans="2:8">
      <c r="B31" s="61" t="str">
        <f>B19</f>
        <v>General Service &lt; 50 kW</v>
      </c>
      <c r="C31" s="85">
        <f t="shared" si="3"/>
        <v>0</v>
      </c>
      <c r="D31" s="86">
        <f t="shared" si="4"/>
        <v>1.0362</v>
      </c>
      <c r="E31" s="92">
        <f t="shared" si="5"/>
        <v>0</v>
      </c>
      <c r="F31" s="93">
        <v>9.5519999999999994E-2</v>
      </c>
      <c r="G31" s="94">
        <f t="shared" si="6"/>
        <v>0</v>
      </c>
    </row>
    <row r="32" spans="2:8">
      <c r="B32" s="61" t="str">
        <f>B20</f>
        <v>General Service &gt; 50 to 4999 kW</v>
      </c>
      <c r="C32" s="85">
        <f t="shared" si="3"/>
        <v>635065683.45718849</v>
      </c>
      <c r="D32" s="86">
        <f t="shared" si="4"/>
        <v>1.0362</v>
      </c>
      <c r="E32" s="92">
        <f t="shared" si="5"/>
        <v>658055061.19833875</v>
      </c>
      <c r="F32" s="93">
        <v>9.5519999999999994E-2</v>
      </c>
      <c r="G32" s="94">
        <f t="shared" si="6"/>
        <v>62857419.445665315</v>
      </c>
    </row>
    <row r="33" spans="2:10">
      <c r="B33" s="61" t="str">
        <f>B21</f>
        <v>Large User</v>
      </c>
      <c r="C33" s="85">
        <f t="shared" si="3"/>
        <v>95063905.676509753</v>
      </c>
      <c r="D33" s="86">
        <f t="shared" si="4"/>
        <v>1.0046999999999999</v>
      </c>
      <c r="E33" s="92">
        <f t="shared" si="5"/>
        <v>95510706.033189341</v>
      </c>
      <c r="F33" s="93">
        <v>9.5519999999999994E-2</v>
      </c>
      <c r="G33" s="94">
        <f t="shared" si="6"/>
        <v>9123182.6402902454</v>
      </c>
    </row>
    <row r="34" spans="2:10">
      <c r="B34" s="61" t="s">
        <v>93</v>
      </c>
      <c r="C34" s="85">
        <f t="shared" si="3"/>
        <v>6823514.014417313</v>
      </c>
      <c r="D34" s="86">
        <f t="shared" si="4"/>
        <v>1.0362</v>
      </c>
      <c r="E34" s="92">
        <f t="shared" si="5"/>
        <v>7070525.2217392195</v>
      </c>
      <c r="F34" s="93">
        <v>0</v>
      </c>
      <c r="G34" s="94">
        <f t="shared" si="6"/>
        <v>0</v>
      </c>
      <c r="H34" s="195"/>
      <c r="I34" s="195"/>
    </row>
    <row r="35" spans="2:10">
      <c r="B35" s="61" t="str">
        <f>B23</f>
        <v>Street Lights</v>
      </c>
      <c r="C35" s="85">
        <f t="shared" si="3"/>
        <v>7351630.4933607355</v>
      </c>
      <c r="D35" s="86">
        <f t="shared" si="4"/>
        <v>1.0362</v>
      </c>
      <c r="E35" s="92">
        <f t="shared" si="5"/>
        <v>7617759.5172203938</v>
      </c>
      <c r="F35" s="93">
        <v>9.5519999999999994E-2</v>
      </c>
      <c r="G35" s="94">
        <f t="shared" si="6"/>
        <v>727648.389084892</v>
      </c>
    </row>
    <row r="36" spans="2:10">
      <c r="B36" s="61" t="str">
        <f>B24</f>
        <v xml:space="preserve">Unmetered Loads </v>
      </c>
      <c r="C36" s="85">
        <f t="shared" si="3"/>
        <v>0</v>
      </c>
      <c r="D36" s="86">
        <f t="shared" si="4"/>
        <v>1.0362</v>
      </c>
      <c r="E36" s="92">
        <f t="shared" si="5"/>
        <v>0</v>
      </c>
      <c r="F36" s="93">
        <v>9.5519999999999994E-2</v>
      </c>
      <c r="G36" s="94">
        <f t="shared" si="6"/>
        <v>0</v>
      </c>
    </row>
    <row r="37" spans="2:10">
      <c r="B37" s="61" t="str">
        <f>B25</f>
        <v>Embedded Distributors</v>
      </c>
      <c r="C37" s="85">
        <f t="shared" si="3"/>
        <v>31378863.308056679</v>
      </c>
      <c r="D37" s="86">
        <f t="shared" si="4"/>
        <v>1.0046999999999999</v>
      </c>
      <c r="E37" s="92">
        <f t="shared" si="5"/>
        <v>31526343.965604544</v>
      </c>
      <c r="F37" s="93">
        <v>9.5519999999999994E-2</v>
      </c>
      <c r="G37" s="94">
        <f t="shared" si="6"/>
        <v>3011396.3755945456</v>
      </c>
    </row>
    <row r="38" spans="2:10">
      <c r="B38" s="88" t="s">
        <v>73</v>
      </c>
      <c r="C38" s="89">
        <f>SUM(C30:C37)</f>
        <v>775683596.94953299</v>
      </c>
      <c r="D38" s="90"/>
      <c r="E38" s="89">
        <f>SUM(E30:E37)</f>
        <v>799780395.93609214</v>
      </c>
      <c r="F38" s="95"/>
      <c r="G38" s="96">
        <f>SUM(G30:G37)</f>
        <v>75719646.850634992</v>
      </c>
    </row>
    <row r="39" spans="2:10">
      <c r="C39" s="223">
        <f>+C26+C38-C13</f>
        <v>0</v>
      </c>
      <c r="H39" s="326"/>
      <c r="I39" s="327"/>
      <c r="J39" s="327"/>
    </row>
    <row r="40" spans="2:10">
      <c r="B40" s="142" t="s">
        <v>78</v>
      </c>
      <c r="C40" s="143"/>
      <c r="D40" s="144" t="s">
        <v>79</v>
      </c>
      <c r="E40" s="145"/>
      <c r="F40" s="146"/>
      <c r="G40" s="143"/>
      <c r="H40" s="326"/>
      <c r="I40" s="327"/>
      <c r="J40" s="327"/>
    </row>
    <row r="41" spans="2:10">
      <c r="B41" s="141" t="s">
        <v>77</v>
      </c>
      <c r="C41" s="154"/>
      <c r="D41" s="147" t="s">
        <v>80</v>
      </c>
      <c r="E41" s="244">
        <v>2016</v>
      </c>
      <c r="F41" s="245"/>
      <c r="G41" s="246"/>
      <c r="H41" s="195"/>
    </row>
    <row r="42" spans="2:10">
      <c r="B42" s="102" t="str">
        <f>B30</f>
        <v xml:space="preserve">Residential </v>
      </c>
      <c r="C42" s="92"/>
      <c r="D42" s="103" t="s">
        <v>71</v>
      </c>
      <c r="E42" s="233"/>
      <c r="F42" s="323"/>
      <c r="G42" s="325">
        <v>3165175.564063679</v>
      </c>
      <c r="H42" s="195"/>
    </row>
    <row r="43" spans="2:10">
      <c r="B43" s="102" t="str">
        <f>B31</f>
        <v>General Service &lt; 50 kW</v>
      </c>
      <c r="C43" s="92"/>
      <c r="D43" s="103" t="s">
        <v>71</v>
      </c>
      <c r="E43" s="233"/>
      <c r="F43" s="323"/>
      <c r="G43" s="325">
        <v>1381073.0539119109</v>
      </c>
    </row>
    <row r="44" spans="2:10">
      <c r="B44" s="102" t="str">
        <f>B32</f>
        <v>General Service &gt; 50 to 4999 kW</v>
      </c>
      <c r="C44" s="92"/>
      <c r="D44" s="103" t="s">
        <v>72</v>
      </c>
      <c r="E44" s="233"/>
      <c r="F44" s="323"/>
      <c r="G44" s="325">
        <v>5037718.8274664786</v>
      </c>
      <c r="H44" s="195"/>
    </row>
    <row r="45" spans="2:10">
      <c r="B45" s="102" t="str">
        <f>B33</f>
        <v>Large User</v>
      </c>
      <c r="C45" s="92"/>
      <c r="D45" s="103" t="s">
        <v>72</v>
      </c>
      <c r="E45" s="233"/>
      <c r="F45" s="323"/>
      <c r="G45" s="325"/>
    </row>
    <row r="46" spans="2:10">
      <c r="B46" s="102" t="s">
        <v>93</v>
      </c>
      <c r="C46" s="92"/>
      <c r="D46" s="103" t="s">
        <v>72</v>
      </c>
      <c r="E46" s="233"/>
      <c r="F46" s="323"/>
      <c r="G46" s="325">
        <v>543672.15395401884</v>
      </c>
      <c r="H46" s="195"/>
    </row>
    <row r="47" spans="2:10">
      <c r="B47" s="102" t="str">
        <f>B35</f>
        <v>Street Lights</v>
      </c>
      <c r="C47" s="92"/>
      <c r="D47" s="103" t="s">
        <v>72</v>
      </c>
      <c r="E47" s="233"/>
      <c r="F47" s="323"/>
      <c r="G47" s="325">
        <v>45130.228904087446</v>
      </c>
    </row>
    <row r="48" spans="2:10">
      <c r="B48" s="102" t="str">
        <f>B36</f>
        <v xml:space="preserve">Unmetered Loads </v>
      </c>
      <c r="C48" s="92"/>
      <c r="D48" s="103" t="s">
        <v>71</v>
      </c>
      <c r="E48" s="233"/>
      <c r="F48" s="323"/>
      <c r="G48" s="325">
        <v>17832.899720823585</v>
      </c>
    </row>
    <row r="49" spans="2:10">
      <c r="B49" s="102" t="str">
        <f>B37</f>
        <v>Embedded Distributors</v>
      </c>
      <c r="C49" s="92"/>
      <c r="D49" s="103" t="s">
        <v>72</v>
      </c>
      <c r="E49" s="233"/>
      <c r="F49" s="323"/>
      <c r="G49" s="325"/>
      <c r="H49" s="195"/>
    </row>
    <row r="50" spans="2:10">
      <c r="B50" s="88" t="s">
        <v>73</v>
      </c>
      <c r="C50" s="89"/>
      <c r="D50" s="90"/>
      <c r="E50" s="89"/>
      <c r="F50" s="324"/>
      <c r="G50" s="105">
        <f>SUM(G42:G49)</f>
        <v>10190602.728020998</v>
      </c>
      <c r="H50" s="327" t="s">
        <v>168</v>
      </c>
      <c r="J50" s="113"/>
    </row>
    <row r="51" spans="2:10">
      <c r="H51" s="327" t="s">
        <v>7</v>
      </c>
    </row>
    <row r="52" spans="2:10">
      <c r="B52" s="142" t="s">
        <v>81</v>
      </c>
      <c r="C52" s="143"/>
      <c r="D52" s="148" t="s">
        <v>79</v>
      </c>
      <c r="E52" s="145"/>
      <c r="F52" s="146"/>
      <c r="G52" s="143"/>
      <c r="H52" s="327"/>
      <c r="I52" s="327"/>
      <c r="J52" s="327"/>
    </row>
    <row r="53" spans="2:10">
      <c r="B53" s="141" t="s">
        <v>77</v>
      </c>
      <c r="C53" s="154"/>
      <c r="D53" s="149" t="s">
        <v>80</v>
      </c>
      <c r="E53" s="244">
        <v>2016</v>
      </c>
      <c r="F53" s="245"/>
      <c r="G53" s="246"/>
      <c r="H53" s="327"/>
      <c r="I53" s="327"/>
      <c r="J53" s="327"/>
    </row>
    <row r="54" spans="2:10">
      <c r="B54" s="102" t="str">
        <f>B42</f>
        <v xml:space="preserve">Residential </v>
      </c>
      <c r="C54" s="92"/>
      <c r="D54" s="103" t="str">
        <f t="shared" ref="D54:E61" si="7">D42</f>
        <v>kWh</v>
      </c>
      <c r="E54" s="233"/>
      <c r="F54" s="323"/>
      <c r="G54" s="325">
        <v>965850.63725262438</v>
      </c>
    </row>
    <row r="55" spans="2:10">
      <c r="B55" s="102" t="str">
        <f>B43</f>
        <v>General Service &lt; 50 kW</v>
      </c>
      <c r="C55" s="92"/>
      <c r="D55" s="103" t="str">
        <f t="shared" si="7"/>
        <v>kWh</v>
      </c>
      <c r="E55" s="233"/>
      <c r="F55" s="323"/>
      <c r="G55" s="325">
        <v>423823.25109493942</v>
      </c>
    </row>
    <row r="56" spans="2:10">
      <c r="B56" s="102" t="str">
        <f>B44</f>
        <v>General Service &gt; 50 to 4999 kW</v>
      </c>
      <c r="C56" s="92"/>
      <c r="D56" s="103" t="str">
        <f t="shared" si="7"/>
        <v>kW</v>
      </c>
      <c r="E56" s="233"/>
      <c r="F56" s="323"/>
      <c r="G56" s="325">
        <v>1646189.0439076321</v>
      </c>
      <c r="H56" s="195"/>
    </row>
    <row r="57" spans="2:10">
      <c r="B57" s="102" t="str">
        <f>B45</f>
        <v>Large User</v>
      </c>
      <c r="C57" s="92"/>
      <c r="D57" s="103" t="str">
        <f t="shared" si="7"/>
        <v>kW</v>
      </c>
      <c r="E57" s="233"/>
      <c r="F57" s="323"/>
      <c r="G57" s="325">
        <v>167855.27585997718</v>
      </c>
    </row>
    <row r="58" spans="2:10">
      <c r="B58" s="102" t="s">
        <v>93</v>
      </c>
      <c r="C58" s="92"/>
      <c r="D58" s="103" t="str">
        <f t="shared" si="7"/>
        <v>kW</v>
      </c>
      <c r="E58" s="233"/>
      <c r="F58" s="323"/>
      <c r="G58" s="325"/>
      <c r="H58" s="195"/>
    </row>
    <row r="59" spans="2:10">
      <c r="B59" s="102" t="str">
        <f>B47</f>
        <v>Street Lights</v>
      </c>
      <c r="C59" s="92"/>
      <c r="D59" s="103" t="str">
        <f t="shared" si="7"/>
        <v>kW</v>
      </c>
      <c r="E59" s="233"/>
      <c r="F59" s="323"/>
      <c r="G59" s="325">
        <v>13394.632737224783</v>
      </c>
    </row>
    <row r="60" spans="2:10">
      <c r="B60" s="102" t="str">
        <f>B48</f>
        <v xml:space="preserve">Unmetered Loads </v>
      </c>
      <c r="C60" s="92"/>
      <c r="D60" s="103" t="str">
        <f t="shared" si="7"/>
        <v>kWh</v>
      </c>
      <c r="E60" s="233"/>
      <c r="F60" s="323"/>
      <c r="G60" s="325">
        <v>5472.5544856018596</v>
      </c>
    </row>
    <row r="61" spans="2:10">
      <c r="B61" s="102" t="str">
        <f>B49</f>
        <v>Embedded Distributors</v>
      </c>
      <c r="C61" s="92"/>
      <c r="D61" s="103" t="str">
        <f t="shared" si="7"/>
        <v>kW</v>
      </c>
      <c r="E61" s="233"/>
      <c r="F61" s="323"/>
      <c r="G61" s="232"/>
      <c r="H61" s="195"/>
    </row>
    <row r="62" spans="2:10">
      <c r="B62" s="88" t="s">
        <v>73</v>
      </c>
      <c r="C62" s="89"/>
      <c r="D62" s="90"/>
      <c r="E62" s="89"/>
      <c r="F62" s="95"/>
      <c r="G62" s="105">
        <f>SUM(G54:G61)</f>
        <v>3222585.3953379998</v>
      </c>
      <c r="H62" s="327" t="s">
        <v>168</v>
      </c>
    </row>
    <row r="63" spans="2:10">
      <c r="H63" s="327" t="s">
        <v>7</v>
      </c>
    </row>
    <row r="64" spans="2:10">
      <c r="B64" s="142" t="s">
        <v>82</v>
      </c>
      <c r="C64" s="143"/>
      <c r="D64" s="148"/>
      <c r="E64" s="145"/>
      <c r="F64" s="146"/>
      <c r="G64" s="143"/>
    </row>
    <row r="65" spans="2:8">
      <c r="B65" s="141" t="s">
        <v>77</v>
      </c>
      <c r="C65" s="154"/>
      <c r="D65" s="149"/>
      <c r="E65" s="244">
        <v>2016</v>
      </c>
      <c r="F65" s="245"/>
      <c r="G65" s="247"/>
    </row>
    <row r="66" spans="2:8">
      <c r="B66" s="102" t="str">
        <f>B54</f>
        <v xml:space="preserve">Residential </v>
      </c>
      <c r="C66" s="92"/>
      <c r="D66" s="103" t="s">
        <v>71</v>
      </c>
      <c r="E66" s="92">
        <f t="shared" ref="E66:E73" si="8">E18+E30</f>
        <v>413797421.52796197</v>
      </c>
      <c r="F66" s="104">
        <v>4.4000000000000003E-3</v>
      </c>
      <c r="G66" s="94">
        <f t="shared" ref="G66:G73" si="9">E66*F66</f>
        <v>1820708.6547230328</v>
      </c>
      <c r="H66" s="195"/>
    </row>
    <row r="67" spans="2:8">
      <c r="B67" s="102" t="str">
        <f>B55</f>
        <v>General Service &lt; 50 kW</v>
      </c>
      <c r="C67" s="92"/>
      <c r="D67" s="103" t="s">
        <v>71</v>
      </c>
      <c r="E67" s="92">
        <f t="shared" si="8"/>
        <v>199063133.05530736</v>
      </c>
      <c r="F67" s="104">
        <v>4.4000000000000003E-3</v>
      </c>
      <c r="G67" s="94">
        <f t="shared" si="9"/>
        <v>875877.78544335242</v>
      </c>
    </row>
    <row r="68" spans="2:8">
      <c r="B68" s="102" t="str">
        <f>B56</f>
        <v>General Service &gt; 50 to 4999 kW</v>
      </c>
      <c r="C68" s="92"/>
      <c r="D68" s="103" t="s">
        <v>71</v>
      </c>
      <c r="E68" s="92">
        <f t="shared" si="8"/>
        <v>736079486.79903662</v>
      </c>
      <c r="F68" s="104">
        <v>4.4000000000000003E-3</v>
      </c>
      <c r="G68" s="94">
        <f t="shared" si="9"/>
        <v>3238749.7419157615</v>
      </c>
    </row>
    <row r="69" spans="2:8">
      <c r="B69" s="102" t="str">
        <f>B57</f>
        <v>Large User</v>
      </c>
      <c r="C69" s="92"/>
      <c r="D69" s="103" t="s">
        <v>71</v>
      </c>
      <c r="E69" s="92">
        <f t="shared" si="8"/>
        <v>95510706.033189341</v>
      </c>
      <c r="F69" s="104">
        <v>4.4000000000000003E-3</v>
      </c>
      <c r="G69" s="94">
        <f t="shared" si="9"/>
        <v>420247.10654603312</v>
      </c>
    </row>
    <row r="70" spans="2:8">
      <c r="B70" s="102" t="s">
        <v>93</v>
      </c>
      <c r="C70" s="92"/>
      <c r="D70" s="103" t="s">
        <v>71</v>
      </c>
      <c r="E70" s="92">
        <f t="shared" si="8"/>
        <v>7070525.2217392195</v>
      </c>
      <c r="F70" s="104">
        <v>0</v>
      </c>
      <c r="G70" s="94">
        <f t="shared" si="9"/>
        <v>0</v>
      </c>
      <c r="H70" s="195"/>
    </row>
    <row r="71" spans="2:8">
      <c r="B71" s="102" t="str">
        <f>B59</f>
        <v>Street Lights</v>
      </c>
      <c r="C71" s="92"/>
      <c r="D71" s="103" t="s">
        <v>71</v>
      </c>
      <c r="E71" s="92">
        <f t="shared" si="8"/>
        <v>7869586.2781202411</v>
      </c>
      <c r="F71" s="104">
        <v>4.4000000000000003E-3</v>
      </c>
      <c r="G71" s="94">
        <f t="shared" si="9"/>
        <v>34626.179623729062</v>
      </c>
    </row>
    <row r="72" spans="2:8">
      <c r="B72" s="102" t="str">
        <f>B60</f>
        <v xml:space="preserve">Unmetered Loads </v>
      </c>
      <c r="C72" s="92"/>
      <c r="D72" s="103" t="s">
        <v>71</v>
      </c>
      <c r="E72" s="92">
        <f t="shared" si="8"/>
        <v>3254053.4612683081</v>
      </c>
      <c r="F72" s="104">
        <v>4.4000000000000003E-3</v>
      </c>
      <c r="G72" s="94">
        <f t="shared" si="9"/>
        <v>14317.835229580556</v>
      </c>
    </row>
    <row r="73" spans="2:8">
      <c r="B73" s="102" t="str">
        <f>B61</f>
        <v>Embedded Distributors</v>
      </c>
      <c r="C73" s="92"/>
      <c r="D73" s="103" t="s">
        <v>71</v>
      </c>
      <c r="E73" s="92">
        <f t="shared" si="8"/>
        <v>31526343.965604544</v>
      </c>
      <c r="F73" s="104">
        <v>4.4000000000000003E-3</v>
      </c>
      <c r="G73" s="94">
        <f t="shared" si="9"/>
        <v>138715.91344865999</v>
      </c>
    </row>
    <row r="74" spans="2:8">
      <c r="B74" s="88" t="s">
        <v>73</v>
      </c>
      <c r="C74" s="89"/>
      <c r="D74" s="90"/>
      <c r="E74" s="89">
        <f>SUM(E66:E73)</f>
        <v>1494171256.3422279</v>
      </c>
      <c r="F74" s="95"/>
      <c r="G74" s="105">
        <f>SUM(G66:G73)</f>
        <v>6543243.2169301482</v>
      </c>
    </row>
    <row r="76" spans="2:8">
      <c r="B76" s="142" t="s">
        <v>83</v>
      </c>
      <c r="C76" s="143"/>
      <c r="D76" s="148"/>
      <c r="E76" s="145"/>
      <c r="F76" s="146"/>
      <c r="G76" s="143"/>
    </row>
    <row r="77" spans="2:8">
      <c r="B77" s="141" t="s">
        <v>77</v>
      </c>
      <c r="C77" s="154"/>
      <c r="D77" s="149"/>
      <c r="E77" s="248">
        <v>2016</v>
      </c>
      <c r="F77" s="245"/>
      <c r="G77" s="246"/>
    </row>
    <row r="78" spans="2:8">
      <c r="B78" s="102" t="str">
        <f>B66</f>
        <v xml:space="preserve">Residential </v>
      </c>
      <c r="C78" s="92"/>
      <c r="D78" s="103" t="str">
        <f t="shared" ref="D78:E85" si="10">D66</f>
        <v>kWh</v>
      </c>
      <c r="E78" s="92">
        <f t="shared" si="10"/>
        <v>413797421.52796197</v>
      </c>
      <c r="F78" s="328">
        <v>1.2999999999999999E-3</v>
      </c>
      <c r="G78" s="94">
        <f t="shared" ref="G78:G85" si="11">E78*F78</f>
        <v>537936.64798635058</v>
      </c>
      <c r="H78" s="195"/>
    </row>
    <row r="79" spans="2:8">
      <c r="B79" s="102" t="str">
        <f>B67</f>
        <v>General Service &lt; 50 kW</v>
      </c>
      <c r="C79" s="92"/>
      <c r="D79" s="103" t="str">
        <f t="shared" si="10"/>
        <v>kWh</v>
      </c>
      <c r="E79" s="92">
        <f t="shared" si="10"/>
        <v>199063133.05530736</v>
      </c>
      <c r="F79" s="328">
        <v>1.2999999999999999E-3</v>
      </c>
      <c r="G79" s="94">
        <f t="shared" si="11"/>
        <v>258782.07297189956</v>
      </c>
    </row>
    <row r="80" spans="2:8">
      <c r="B80" s="102" t="str">
        <f>B68</f>
        <v>General Service &gt; 50 to 4999 kW</v>
      </c>
      <c r="C80" s="92"/>
      <c r="D80" s="103" t="str">
        <f t="shared" si="10"/>
        <v>kWh</v>
      </c>
      <c r="E80" s="92">
        <f t="shared" si="10"/>
        <v>736079486.79903662</v>
      </c>
      <c r="F80" s="328">
        <v>1.2999999999999999E-3</v>
      </c>
      <c r="G80" s="94">
        <f t="shared" si="11"/>
        <v>956903.33283874753</v>
      </c>
    </row>
    <row r="81" spans="2:10">
      <c r="B81" s="102" t="str">
        <f>B69</f>
        <v>Large User</v>
      </c>
      <c r="C81" s="92"/>
      <c r="D81" s="103" t="str">
        <f t="shared" si="10"/>
        <v>kWh</v>
      </c>
      <c r="E81" s="92">
        <f t="shared" si="10"/>
        <v>95510706.033189341</v>
      </c>
      <c r="F81" s="328">
        <v>1.2999999999999999E-3</v>
      </c>
      <c r="G81" s="94">
        <f>E81*F81</f>
        <v>124163.91784314613</v>
      </c>
    </row>
    <row r="82" spans="2:10">
      <c r="B82" s="102" t="s">
        <v>93</v>
      </c>
      <c r="C82" s="92"/>
      <c r="D82" s="103" t="str">
        <f t="shared" si="10"/>
        <v>kWh</v>
      </c>
      <c r="E82" s="92">
        <f t="shared" si="10"/>
        <v>7070525.2217392195</v>
      </c>
      <c r="F82" s="328">
        <v>0</v>
      </c>
      <c r="G82" s="94">
        <f>E82*F82</f>
        <v>0</v>
      </c>
      <c r="H82" s="195"/>
    </row>
    <row r="83" spans="2:10">
      <c r="B83" s="102" t="str">
        <f t="shared" ref="B83:B85" si="12">B71</f>
        <v>Street Lights</v>
      </c>
      <c r="C83" s="92"/>
      <c r="D83" s="103" t="str">
        <f t="shared" si="10"/>
        <v>kWh</v>
      </c>
      <c r="E83" s="92">
        <f t="shared" si="10"/>
        <v>7869586.2781202411</v>
      </c>
      <c r="F83" s="328">
        <v>1.2999999999999999E-3</v>
      </c>
      <c r="G83" s="94">
        <f t="shared" si="11"/>
        <v>10230.462161556314</v>
      </c>
    </row>
    <row r="84" spans="2:10">
      <c r="B84" s="102" t="str">
        <f t="shared" si="12"/>
        <v xml:space="preserve">Unmetered Loads </v>
      </c>
      <c r="C84" s="92"/>
      <c r="D84" s="103" t="str">
        <f t="shared" si="10"/>
        <v>kWh</v>
      </c>
      <c r="E84" s="92">
        <f t="shared" si="10"/>
        <v>3254053.4612683081</v>
      </c>
      <c r="F84" s="328">
        <v>1.2999999999999999E-3</v>
      </c>
      <c r="G84" s="94">
        <f t="shared" si="11"/>
        <v>4230.2694996488008</v>
      </c>
    </row>
    <row r="85" spans="2:10">
      <c r="B85" s="102" t="str">
        <f t="shared" si="12"/>
        <v>Embedded Distributors</v>
      </c>
      <c r="C85" s="92"/>
      <c r="D85" s="103" t="str">
        <f t="shared" si="10"/>
        <v>kWh</v>
      </c>
      <c r="E85" s="92">
        <f t="shared" si="10"/>
        <v>31526343.965604544</v>
      </c>
      <c r="F85" s="328">
        <v>1.2999999999999999E-3</v>
      </c>
      <c r="G85" s="94">
        <f t="shared" si="11"/>
        <v>40984.247155285906</v>
      </c>
    </row>
    <row r="86" spans="2:10">
      <c r="B86" s="88" t="s">
        <v>73</v>
      </c>
      <c r="C86" s="89"/>
      <c r="D86" s="90"/>
      <c r="E86" s="89">
        <f>SUM(E78:E85)</f>
        <v>1494171256.3422279</v>
      </c>
      <c r="F86" s="95"/>
      <c r="G86" s="105">
        <f>SUM(G78:G85)</f>
        <v>1933230.9504566351</v>
      </c>
    </row>
    <row r="87" spans="2:10" ht="13.8" thickBot="1"/>
    <row r="88" spans="2:10" ht="13.8" thickBot="1">
      <c r="B88" s="150"/>
      <c r="C88" s="151">
        <v>2016</v>
      </c>
      <c r="H88" s="249">
        <v>2016</v>
      </c>
      <c r="I88" s="250"/>
    </row>
    <row r="89" spans="2:10" ht="13.8" thickBot="1">
      <c r="B89" s="59"/>
      <c r="C89" s="106"/>
      <c r="H89" s="228" t="s">
        <v>166</v>
      </c>
      <c r="I89" s="229" t="s">
        <v>167</v>
      </c>
    </row>
    <row r="90" spans="2:10">
      <c r="B90" s="57" t="s">
        <v>84</v>
      </c>
      <c r="C90" s="107">
        <f>G26+G38</f>
        <v>141659002.95480162</v>
      </c>
      <c r="H90" s="224">
        <f>-G18</f>
        <v>-39294203.148295268</v>
      </c>
      <c r="I90" s="226">
        <v>4006</v>
      </c>
    </row>
    <row r="91" spans="2:10">
      <c r="B91" s="57" t="s">
        <v>85</v>
      </c>
      <c r="C91" s="108">
        <f>G74</f>
        <v>6543243.2169301482</v>
      </c>
      <c r="H91" s="224">
        <f>-+G33</f>
        <v>-9123182.6402902454</v>
      </c>
      <c r="I91" s="226">
        <v>4020</v>
      </c>
    </row>
    <row r="92" spans="2:10">
      <c r="B92" s="57" t="s">
        <v>86</v>
      </c>
      <c r="C92" s="329">
        <f>G50</f>
        <v>10190602.728020998</v>
      </c>
      <c r="H92" s="224">
        <f>-(+G23+G35)</f>
        <v>-751561.85829994152</v>
      </c>
      <c r="I92" s="226">
        <v>4025</v>
      </c>
    </row>
    <row r="93" spans="2:10">
      <c r="B93" s="57" t="s">
        <v>87</v>
      </c>
      <c r="C93" s="329">
        <f>G62</f>
        <v>3222585.3953379998</v>
      </c>
      <c r="H93" s="224">
        <f>-(+G20+G24+G32+G37+G19)</f>
        <v>-92490055.307916149</v>
      </c>
      <c r="I93" s="226">
        <v>4035</v>
      </c>
      <c r="J93" s="187">
        <f>SUM(H90:H93)+G26+G38</f>
        <v>0</v>
      </c>
    </row>
    <row r="94" spans="2:10">
      <c r="B94" s="57" t="s">
        <v>88</v>
      </c>
      <c r="C94" s="329">
        <f>G86</f>
        <v>1933230.9504566351</v>
      </c>
      <c r="H94" s="224">
        <f>-C91-C94</f>
        <v>-8476474.1673867833</v>
      </c>
      <c r="I94" s="226">
        <v>4062</v>
      </c>
    </row>
    <row r="95" spans="2:10">
      <c r="B95" s="57" t="s">
        <v>89</v>
      </c>
      <c r="C95" s="329">
        <v>272000</v>
      </c>
      <c r="H95" s="331">
        <f>-C92</f>
        <v>-10190602.728020998</v>
      </c>
      <c r="I95" s="226">
        <v>4066</v>
      </c>
    </row>
    <row r="96" spans="2:10">
      <c r="B96" s="153" t="s">
        <v>129</v>
      </c>
      <c r="C96" s="329">
        <v>505829.76</v>
      </c>
      <c r="H96" s="331">
        <f>-C93</f>
        <v>-3222585.3953379998</v>
      </c>
      <c r="I96" s="226">
        <v>4068</v>
      </c>
    </row>
    <row r="97" spans="2:9">
      <c r="B97" s="64" t="s">
        <v>73</v>
      </c>
      <c r="C97" s="330">
        <f>SUM(C90:C96)</f>
        <v>164326495.0055474</v>
      </c>
      <c r="H97" s="224">
        <f>-C95</f>
        <v>-272000</v>
      </c>
      <c r="I97" s="226">
        <v>4075</v>
      </c>
    </row>
    <row r="98" spans="2:9">
      <c r="H98" s="224">
        <f>-C96</f>
        <v>-505829.76</v>
      </c>
      <c r="I98" s="226">
        <v>4076</v>
      </c>
    </row>
    <row r="99" spans="2:9" ht="13.8" thickBot="1">
      <c r="H99" s="225">
        <f>SUM(H90:H98)</f>
        <v>-164326495.00554737</v>
      </c>
      <c r="I99" s="227"/>
    </row>
    <row r="100" spans="2:9">
      <c r="H100" s="53">
        <f>+H99+C97</f>
        <v>0</v>
      </c>
    </row>
  </sheetData>
  <mergeCells count="12">
    <mergeCell ref="H88:I88"/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Weather Analysis </vt:lpstr>
      <vt:lpstr>2015 COP Forecast</vt:lpstr>
      <vt:lpstr>2016 COP Forecast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Chris Amos</cp:lastModifiedBy>
  <cp:lastPrinted>2014-02-13T20:52:43Z</cp:lastPrinted>
  <dcterms:created xsi:type="dcterms:W3CDTF">2008-02-06T18:24:44Z</dcterms:created>
  <dcterms:modified xsi:type="dcterms:W3CDTF">2015-05-01T10:32:46Z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