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activeTab="3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Tables'!$A$2:$L$347</definedName>
    <definedName name="_xlnm.Print_Area" localSheetId="3">'Purchased Power Model'!$P$32:$T$50</definedName>
    <definedName name="_xlnm.Print_Area" localSheetId="5">'Rate Class Customer Model'!$A$1:$I$53</definedName>
    <definedName name="_xlnm.Print_Area" localSheetId="4">'Rate Class Energy Model'!$A$1:$S$106</definedName>
    <definedName name="_xlnm.Print_Area" localSheetId="6">'Rate Class Load Model'!$A$1:$L$46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3" i="7"/>
  <c r="Q34" i="7" l="1"/>
  <c r="Q33" i="7"/>
  <c r="P33" i="7"/>
  <c r="Q32" i="7"/>
  <c r="P32" i="7"/>
  <c r="Q31" i="7"/>
  <c r="P31" i="7"/>
  <c r="Q30" i="7"/>
  <c r="P30" i="7"/>
  <c r="D194" i="7" l="1"/>
  <c r="C194" i="7"/>
  <c r="AA14" i="21" s="1"/>
  <c r="D193" i="7"/>
  <c r="AA28" i="21" s="1"/>
  <c r="C193" i="7"/>
  <c r="D192" i="7"/>
  <c r="AA27" i="21" s="1"/>
  <c r="C192" i="7"/>
  <c r="AA12" i="21" s="1"/>
  <c r="D191" i="7"/>
  <c r="C191" i="7"/>
  <c r="D190" i="7"/>
  <c r="C190" i="7"/>
  <c r="AA10" i="21" s="1"/>
  <c r="D189" i="7"/>
  <c r="C189" i="7"/>
  <c r="D188" i="7"/>
  <c r="C188" i="7"/>
  <c r="AA8" i="21" s="1"/>
  <c r="D187" i="7"/>
  <c r="C187" i="7"/>
  <c r="D186" i="7"/>
  <c r="C186" i="7"/>
  <c r="AA6" i="21" s="1"/>
  <c r="D185" i="7"/>
  <c r="C185" i="7"/>
  <c r="D184" i="7"/>
  <c r="AA19" i="21" s="1"/>
  <c r="C184" i="7"/>
  <c r="AA4" i="21" s="1"/>
  <c r="D183" i="7"/>
  <c r="C183" i="7"/>
  <c r="D196" i="7"/>
  <c r="D204" i="7"/>
  <c r="D205" i="7"/>
  <c r="C200" i="7" l="1"/>
  <c r="C202" i="7"/>
  <c r="D197" i="7"/>
  <c r="AA20" i="21"/>
  <c r="D199" i="7"/>
  <c r="AA22" i="21"/>
  <c r="D203" i="7"/>
  <c r="AA26" i="21"/>
  <c r="AB28" i="21"/>
  <c r="AC28" i="21"/>
  <c r="AC8" i="21"/>
  <c r="AB8" i="21"/>
  <c r="AC19" i="21"/>
  <c r="AB19" i="21"/>
  <c r="D198" i="7"/>
  <c r="AA21" i="21"/>
  <c r="D200" i="7"/>
  <c r="AA23" i="21"/>
  <c r="D202" i="7"/>
  <c r="AA25" i="21"/>
  <c r="AC27" i="21"/>
  <c r="AB27" i="21"/>
  <c r="D206" i="7"/>
  <c r="AA29" i="21"/>
  <c r="D195" i="7"/>
  <c r="AA18" i="21"/>
  <c r="D201" i="7"/>
  <c r="AA24" i="21"/>
  <c r="AB4" i="21"/>
  <c r="AC4" i="21"/>
  <c r="AC6" i="21"/>
  <c r="AB6" i="21"/>
  <c r="AB10" i="21"/>
  <c r="AC10" i="21"/>
  <c r="AC12" i="21"/>
  <c r="AB12" i="21"/>
  <c r="AB14" i="21"/>
  <c r="AC14" i="21"/>
  <c r="C198" i="7"/>
  <c r="C204" i="7"/>
  <c r="C196" i="7"/>
  <c r="C195" i="7"/>
  <c r="AA3" i="21"/>
  <c r="C197" i="7"/>
  <c r="AA5" i="21"/>
  <c r="C199" i="7"/>
  <c r="AA7" i="21"/>
  <c r="C201" i="7"/>
  <c r="AA9" i="21"/>
  <c r="C203" i="7"/>
  <c r="AA11" i="21"/>
  <c r="C205" i="7"/>
  <c r="AA13" i="21"/>
  <c r="C206" i="7"/>
  <c r="Q49" i="11"/>
  <c r="Q44" i="11"/>
  <c r="Q39" i="11"/>
  <c r="Q34" i="11"/>
  <c r="Q29" i="11"/>
  <c r="Q25" i="11"/>
  <c r="Q21" i="11"/>
  <c r="J367" i="19"/>
  <c r="G94" i="9"/>
  <c r="D18" i="18"/>
  <c r="H246" i="19"/>
  <c r="H251" i="19" s="1"/>
  <c r="K71" i="9"/>
  <c r="AC23" i="21" l="1"/>
  <c r="AB23" i="21"/>
  <c r="AC22" i="21"/>
  <c r="AB22" i="21"/>
  <c r="AC13" i="21"/>
  <c r="AB13" i="21"/>
  <c r="AC9" i="21"/>
  <c r="AB9" i="21"/>
  <c r="AC5" i="21"/>
  <c r="AB5" i="21"/>
  <c r="AB24" i="21"/>
  <c r="AC24" i="21"/>
  <c r="AC29" i="21"/>
  <c r="AB29" i="21"/>
  <c r="AC25" i="21"/>
  <c r="AB25" i="21"/>
  <c r="AC21" i="21"/>
  <c r="AB21" i="21"/>
  <c r="AC26" i="21"/>
  <c r="AB26" i="21"/>
  <c r="AB20" i="21"/>
  <c r="AC20" i="21"/>
  <c r="AA30" i="21"/>
  <c r="AC18" i="21"/>
  <c r="AB18" i="21"/>
  <c r="AC11" i="21"/>
  <c r="AB11" i="21"/>
  <c r="AC7" i="21"/>
  <c r="AB7" i="21"/>
  <c r="AC3" i="21"/>
  <c r="AA15" i="21"/>
  <c r="AB3" i="21"/>
  <c r="Q33" i="11"/>
  <c r="E48" i="19"/>
  <c r="F48" i="19"/>
  <c r="G48" i="19"/>
  <c r="H48" i="19"/>
  <c r="N48" i="19" s="1"/>
  <c r="I48" i="19"/>
  <c r="J48" i="19"/>
  <c r="K48" i="19"/>
  <c r="B194" i="19"/>
  <c r="B220" i="19" s="1"/>
  <c r="B240" i="19" s="1"/>
  <c r="E174" i="19"/>
  <c r="F174" i="19"/>
  <c r="G174" i="19"/>
  <c r="L174" i="19" s="1"/>
  <c r="H174" i="19"/>
  <c r="I174" i="19"/>
  <c r="J174" i="19"/>
  <c r="K174" i="19"/>
  <c r="B38" i="18"/>
  <c r="C38" i="18"/>
  <c r="D38" i="18"/>
  <c r="E38" i="18"/>
  <c r="C44" i="17"/>
  <c r="D44" i="17"/>
  <c r="E44" i="17"/>
  <c r="F44" i="17"/>
  <c r="G44" i="17"/>
  <c r="H44" i="17"/>
  <c r="B44" i="17"/>
  <c r="H46" i="9"/>
  <c r="I46" i="9"/>
  <c r="J46" i="9"/>
  <c r="K46" i="9"/>
  <c r="L46" i="9"/>
  <c r="M46" i="9"/>
  <c r="N46" i="9"/>
  <c r="O22" i="9"/>
  <c r="G22" i="9"/>
  <c r="B40" i="17"/>
  <c r="C40" i="17"/>
  <c r="D40" i="17"/>
  <c r="G40" i="17"/>
  <c r="H40" i="17"/>
  <c r="I18" i="17"/>
  <c r="L284" i="19" l="1"/>
  <c r="R274" i="19"/>
  <c r="S274" i="19"/>
  <c r="T274" i="19"/>
  <c r="Q274" i="19"/>
  <c r="U276" i="19"/>
  <c r="U277" i="19"/>
  <c r="U278" i="19"/>
  <c r="U279" i="19"/>
  <c r="U275" i="19"/>
  <c r="T270" i="19"/>
  <c r="R268" i="19"/>
  <c r="S268" i="19"/>
  <c r="T268" i="19"/>
  <c r="S269" i="19"/>
  <c r="T269" i="19"/>
  <c r="R267" i="19"/>
  <c r="S267" i="19"/>
  <c r="T267" i="19"/>
  <c r="Q267" i="19"/>
  <c r="T261" i="19" l="1"/>
  <c r="U270" i="19"/>
  <c r="S275" i="19"/>
  <c r="R275" i="19"/>
  <c r="S276" i="19"/>
  <c r="S263" i="19"/>
  <c r="T276" i="19"/>
  <c r="Q271" i="19"/>
  <c r="T263" i="19"/>
  <c r="R262" i="19"/>
  <c r="U280" i="19"/>
  <c r="S277" i="19"/>
  <c r="Q275" i="19"/>
  <c r="Q280" i="19" s="1"/>
  <c r="T278" i="19"/>
  <c r="T275" i="19"/>
  <c r="T277" i="19"/>
  <c r="R276" i="19"/>
  <c r="T271" i="19"/>
  <c r="Q261" i="19"/>
  <c r="Q265" i="19" s="1"/>
  <c r="S271" i="19"/>
  <c r="R271" i="19"/>
  <c r="R261" i="19"/>
  <c r="R265" i="19" s="1"/>
  <c r="T262" i="19"/>
  <c r="U268" i="19"/>
  <c r="S262" i="19"/>
  <c r="T264" i="19"/>
  <c r="U264" i="19" s="1"/>
  <c r="U269" i="19"/>
  <c r="S261" i="19"/>
  <c r="U267" i="19"/>
  <c r="S280" i="19" l="1"/>
  <c r="U263" i="19"/>
  <c r="R280" i="19"/>
  <c r="L285" i="19"/>
  <c r="T280" i="19"/>
  <c r="U262" i="19"/>
  <c r="U261" i="19"/>
  <c r="T265" i="19"/>
  <c r="S265" i="19"/>
  <c r="U271" i="19"/>
  <c r="U265" i="19" l="1"/>
  <c r="K493" i="19" l="1"/>
  <c r="J493" i="19"/>
  <c r="I493" i="19"/>
  <c r="H493" i="19"/>
  <c r="K481" i="19"/>
  <c r="J481" i="19"/>
  <c r="I481" i="19"/>
  <c r="H481" i="19"/>
  <c r="K469" i="19"/>
  <c r="J469" i="19"/>
  <c r="I469" i="19"/>
  <c r="H469" i="19"/>
  <c r="K457" i="19"/>
  <c r="J457" i="19"/>
  <c r="I457" i="19"/>
  <c r="H457" i="19"/>
  <c r="K445" i="19"/>
  <c r="J445" i="19"/>
  <c r="I445" i="19"/>
  <c r="H445" i="19"/>
  <c r="K433" i="19"/>
  <c r="J433" i="19"/>
  <c r="I433" i="19"/>
  <c r="H433" i="19"/>
  <c r="E439" i="19"/>
  <c r="E437" i="19"/>
  <c r="B429" i="19" l="1"/>
  <c r="B428" i="19"/>
  <c r="B427" i="19"/>
  <c r="B420" i="19"/>
  <c r="B419" i="19"/>
  <c r="B413" i="19"/>
  <c r="B412" i="19"/>
  <c r="B411" i="19"/>
  <c r="J439" i="19"/>
  <c r="B404" i="19"/>
  <c r="B403" i="19"/>
  <c r="B402" i="19"/>
  <c r="J438" i="19"/>
  <c r="B395" i="19"/>
  <c r="B394" i="19"/>
  <c r="B393" i="19"/>
  <c r="J437" i="19"/>
  <c r="B386" i="19"/>
  <c r="B385" i="19"/>
  <c r="B384" i="19"/>
  <c r="J436" i="19"/>
  <c r="B377" i="19"/>
  <c r="B376" i="19"/>
  <c r="B370" i="19"/>
  <c r="B369" i="19"/>
  <c r="K364" i="19"/>
  <c r="I364" i="19"/>
  <c r="H364" i="19"/>
  <c r="G364" i="19"/>
  <c r="F364" i="19"/>
  <c r="E364" i="19"/>
  <c r="K350" i="19"/>
  <c r="J350" i="19"/>
  <c r="I350" i="19"/>
  <c r="H350" i="19"/>
  <c r="G350" i="19"/>
  <c r="F350" i="19"/>
  <c r="F316" i="19"/>
  <c r="G316" i="19"/>
  <c r="H316" i="19"/>
  <c r="F317" i="19"/>
  <c r="G317" i="19"/>
  <c r="H317" i="19"/>
  <c r="F318" i="19"/>
  <c r="G318" i="19"/>
  <c r="H318" i="19"/>
  <c r="F319" i="19"/>
  <c r="G319" i="19"/>
  <c r="H319" i="19"/>
  <c r="F320" i="19"/>
  <c r="G320" i="19"/>
  <c r="H320" i="19"/>
  <c r="F321" i="19"/>
  <c r="G321" i="19"/>
  <c r="H321" i="19"/>
  <c r="E317" i="19"/>
  <c r="E318" i="19"/>
  <c r="E319" i="19"/>
  <c r="E320" i="19"/>
  <c r="E321" i="19"/>
  <c r="E300" i="19"/>
  <c r="F300" i="19"/>
  <c r="G300" i="19"/>
  <c r="I300" i="19"/>
  <c r="J300" i="19"/>
  <c r="K300" i="19"/>
  <c r="E298" i="19"/>
  <c r="F298" i="19"/>
  <c r="G298" i="19"/>
  <c r="H298" i="19"/>
  <c r="I298" i="19"/>
  <c r="J298" i="19"/>
  <c r="K298" i="19"/>
  <c r="J441" i="19" l="1"/>
  <c r="E425" i="19"/>
  <c r="I318" i="19"/>
  <c r="I320" i="19"/>
  <c r="I319" i="19"/>
  <c r="I321" i="19"/>
  <c r="I317" i="19"/>
  <c r="B294" i="19" l="1"/>
  <c r="L63" i="18"/>
  <c r="B246" i="19" l="1"/>
  <c r="B296" i="19" s="1"/>
  <c r="B298" i="19" s="1"/>
  <c r="B300" i="19" s="1"/>
  <c r="J3" i="17" l="1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F194" i="19" s="1"/>
  <c r="G173" i="19"/>
  <c r="G194" i="19" s="1"/>
  <c r="H173" i="19"/>
  <c r="H194" i="19" s="1"/>
  <c r="I173" i="19"/>
  <c r="I194" i="19" s="1"/>
  <c r="J173" i="19"/>
  <c r="J194" i="19" s="1"/>
  <c r="K173" i="19"/>
  <c r="K194" i="19" s="1"/>
  <c r="B169" i="19"/>
  <c r="B189" i="19" s="1"/>
  <c r="B215" i="19" s="1"/>
  <c r="B235" i="19" s="1"/>
  <c r="B317" i="19" s="1"/>
  <c r="B336" i="19" s="1"/>
  <c r="B170" i="19"/>
  <c r="B190" i="19" s="1"/>
  <c r="B216" i="19" s="1"/>
  <c r="B236" i="19" s="1"/>
  <c r="B318" i="19" s="1"/>
  <c r="B337" i="19" s="1"/>
  <c r="B171" i="19"/>
  <c r="B191" i="19" s="1"/>
  <c r="B217" i="19" s="1"/>
  <c r="B237" i="19" s="1"/>
  <c r="B319" i="19" s="1"/>
  <c r="B338" i="19" s="1"/>
  <c r="B172" i="19"/>
  <c r="B192" i="19" s="1"/>
  <c r="B218" i="19" s="1"/>
  <c r="B238" i="19" s="1"/>
  <c r="B320" i="19" s="1"/>
  <c r="B339" i="19" s="1"/>
  <c r="B173" i="19"/>
  <c r="B193" i="19" s="1"/>
  <c r="B219" i="19" s="1"/>
  <c r="B239" i="19" s="1"/>
  <c r="B321" i="19" s="1"/>
  <c r="B340" i="19" s="1"/>
  <c r="E173" i="19"/>
  <c r="E194" i="19" s="1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F237" i="7"/>
  <c r="G237" i="7"/>
  <c r="E237" i="7"/>
  <c r="K192" i="19" l="1"/>
  <c r="G192" i="19"/>
  <c r="K190" i="19"/>
  <c r="G190" i="19"/>
  <c r="E189" i="19"/>
  <c r="E185" i="19"/>
  <c r="J192" i="19"/>
  <c r="F192" i="19"/>
  <c r="H191" i="19"/>
  <c r="J190" i="19"/>
  <c r="F190" i="19"/>
  <c r="E182" i="19"/>
  <c r="K193" i="19"/>
  <c r="G193" i="19"/>
  <c r="I192" i="19"/>
  <c r="K191" i="19"/>
  <c r="G191" i="19"/>
  <c r="I190" i="19"/>
  <c r="E191" i="19"/>
  <c r="E187" i="19"/>
  <c r="E183" i="19"/>
  <c r="H192" i="19"/>
  <c r="J191" i="19"/>
  <c r="F191" i="19"/>
  <c r="H190" i="19"/>
  <c r="I193" i="19"/>
  <c r="I191" i="19"/>
  <c r="E190" i="19"/>
  <c r="E186" i="19"/>
  <c r="H193" i="19"/>
  <c r="E193" i="19"/>
  <c r="E192" i="19"/>
  <c r="E188" i="19"/>
  <c r="E184" i="19"/>
  <c r="F193" i="19"/>
  <c r="J193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16" i="19"/>
  <c r="E398" i="19"/>
  <c r="E438" i="19" s="1"/>
  <c r="E380" i="19"/>
  <c r="E436" i="19" s="1"/>
  <c r="E373" i="19"/>
  <c r="E435" i="19" s="1"/>
  <c r="E366" i="19"/>
  <c r="F43" i="19"/>
  <c r="G43" i="19"/>
  <c r="H43" i="19"/>
  <c r="I43" i="19"/>
  <c r="J43" i="19"/>
  <c r="K43" i="19"/>
  <c r="F44" i="19"/>
  <c r="G44" i="19"/>
  <c r="H44" i="19"/>
  <c r="I44" i="19"/>
  <c r="J44" i="19"/>
  <c r="K44" i="19"/>
  <c r="F45" i="19"/>
  <c r="G45" i="19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J47" i="19"/>
  <c r="K47" i="19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17" i="19"/>
  <c r="E408" i="19"/>
  <c r="E399" i="19"/>
  <c r="E390" i="19"/>
  <c r="E381" i="19"/>
  <c r="E374" i="19"/>
  <c r="H435" i="19" s="1"/>
  <c r="E367" i="19"/>
  <c r="K93" i="19" l="1"/>
  <c r="K219" i="19" s="1"/>
  <c r="G91" i="19"/>
  <c r="G217" i="19" s="1"/>
  <c r="K89" i="19"/>
  <c r="K215" i="19" s="1"/>
  <c r="I93" i="19"/>
  <c r="I219" i="19" s="1"/>
  <c r="I89" i="19"/>
  <c r="I215" i="19" s="1"/>
  <c r="E90" i="19"/>
  <c r="E216" i="19" s="1"/>
  <c r="E440" i="19"/>
  <c r="E434" i="19"/>
  <c r="E423" i="19"/>
  <c r="H440" i="19"/>
  <c r="H434" i="19"/>
  <c r="E424" i="19"/>
  <c r="I90" i="19"/>
  <c r="G93" i="19"/>
  <c r="G219" i="19" s="1"/>
  <c r="K91" i="19"/>
  <c r="K217" i="19" s="1"/>
  <c r="E89" i="19"/>
  <c r="F93" i="19"/>
  <c r="F219" i="19" s="1"/>
  <c r="F89" i="19"/>
  <c r="F215" i="19" s="1"/>
  <c r="I92" i="19"/>
  <c r="I218" i="19" s="1"/>
  <c r="G92" i="19"/>
  <c r="I91" i="19"/>
  <c r="I217" i="19" s="1"/>
  <c r="K90" i="19"/>
  <c r="E77" i="19"/>
  <c r="I77" i="19"/>
  <c r="E93" i="19"/>
  <c r="E219" i="19" s="1"/>
  <c r="J92" i="19"/>
  <c r="J218" i="19" s="1"/>
  <c r="F92" i="19"/>
  <c r="F218" i="19" s="1"/>
  <c r="J90" i="19"/>
  <c r="J216" i="19" s="1"/>
  <c r="F90" i="19"/>
  <c r="F216" i="19" s="1"/>
  <c r="H93" i="19"/>
  <c r="H219" i="19" s="1"/>
  <c r="H89" i="19"/>
  <c r="H215" i="19" s="1"/>
  <c r="J91" i="19"/>
  <c r="J217" i="19" s="1"/>
  <c r="B94" i="19"/>
  <c r="B116" i="19" s="1"/>
  <c r="B346" i="19" s="1"/>
  <c r="G89" i="19"/>
  <c r="G215" i="19" s="1"/>
  <c r="B92" i="19"/>
  <c r="B114" i="19" s="1"/>
  <c r="G77" i="19"/>
  <c r="E91" i="19"/>
  <c r="H92" i="19"/>
  <c r="H218" i="19" s="1"/>
  <c r="H90" i="19"/>
  <c r="E92" i="19"/>
  <c r="E218" i="19" s="1"/>
  <c r="F91" i="19"/>
  <c r="H91" i="19"/>
  <c r="H217" i="19" s="1"/>
  <c r="J93" i="19"/>
  <c r="J219" i="19" s="1"/>
  <c r="J89" i="19"/>
  <c r="J215" i="19" s="1"/>
  <c r="K92" i="19"/>
  <c r="K218" i="19" s="1"/>
  <c r="B90" i="19"/>
  <c r="B112" i="19" s="1"/>
  <c r="B93" i="19"/>
  <c r="B115" i="19" s="1"/>
  <c r="B89" i="19"/>
  <c r="B111" i="19" s="1"/>
  <c r="G90" i="19"/>
  <c r="G216" i="19" s="1"/>
  <c r="B95" i="19"/>
  <c r="B117" i="19" s="1"/>
  <c r="B152" i="19" s="1"/>
  <c r="B302" i="19" s="1"/>
  <c r="B347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E99" i="19" l="1"/>
  <c r="H441" i="19"/>
  <c r="E441" i="19"/>
  <c r="G236" i="19"/>
  <c r="F236" i="19"/>
  <c r="I99" i="19"/>
  <c r="I238" i="19"/>
  <c r="G237" i="19"/>
  <c r="J237" i="19"/>
  <c r="J286" i="19" s="1"/>
  <c r="J239" i="19"/>
  <c r="K238" i="19"/>
  <c r="E239" i="19"/>
  <c r="F239" i="19"/>
  <c r="K239" i="19"/>
  <c r="J236" i="19"/>
  <c r="J285" i="19" s="1"/>
  <c r="H238" i="19"/>
  <c r="H239" i="19"/>
  <c r="J238" i="19"/>
  <c r="I239" i="19"/>
  <c r="G114" i="19"/>
  <c r="G218" i="19"/>
  <c r="G238" i="19" s="1"/>
  <c r="E112" i="19"/>
  <c r="E215" i="19"/>
  <c r="K112" i="19"/>
  <c r="K216" i="19"/>
  <c r="K236" i="19" s="1"/>
  <c r="K285" i="19" s="1"/>
  <c r="H112" i="19"/>
  <c r="H216" i="19"/>
  <c r="H236" i="19" s="1"/>
  <c r="F113" i="19"/>
  <c r="F217" i="19"/>
  <c r="F237" i="19" s="1"/>
  <c r="F286" i="19" s="1"/>
  <c r="E113" i="19"/>
  <c r="E217" i="19"/>
  <c r="E237" i="19" s="1"/>
  <c r="E286" i="19" s="1"/>
  <c r="I112" i="19"/>
  <c r="I216" i="19"/>
  <c r="I236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3" i="18"/>
  <c r="W81" i="18"/>
  <c r="Y69" i="18"/>
  <c r="W62" i="18"/>
  <c r="V62" i="18"/>
  <c r="H237" i="19" l="1"/>
  <c r="G239" i="19"/>
  <c r="F238" i="19"/>
  <c r="E236" i="19"/>
  <c r="E238" i="19"/>
  <c r="I237" i="19"/>
  <c r="K237" i="19"/>
  <c r="K286" i="19" s="1"/>
  <c r="X62" i="18"/>
  <c r="S65" i="18"/>
  <c r="S62" i="18"/>
  <c r="S63" i="18" s="1"/>
  <c r="T62" i="18"/>
  <c r="R62" i="18"/>
  <c r="R55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S64" i="18" l="1"/>
  <c r="G346" i="19"/>
  <c r="H94" i="9"/>
  <c r="H45" i="9"/>
  <c r="H64" i="9" s="1"/>
  <c r="H44" i="9"/>
  <c r="H43" i="9"/>
  <c r="I45" i="9"/>
  <c r="I64" i="9" s="1"/>
  <c r="I44" i="9"/>
  <c r="I62" i="9" s="1"/>
  <c r="I43" i="9"/>
  <c r="J45" i="9"/>
  <c r="J64" i="9" s="1"/>
  <c r="J44" i="9"/>
  <c r="J43" i="9"/>
  <c r="K45" i="9"/>
  <c r="K64" i="9" s="1"/>
  <c r="K44" i="9"/>
  <c r="K63" i="9" s="1"/>
  <c r="K43" i="9"/>
  <c r="M45" i="9"/>
  <c r="M44" i="9"/>
  <c r="M43" i="9"/>
  <c r="M62" i="9" s="1"/>
  <c r="N45" i="9"/>
  <c r="N64" i="9" s="1"/>
  <c r="N44" i="9"/>
  <c r="N62" i="9" s="1"/>
  <c r="N43" i="9"/>
  <c r="E19" i="17"/>
  <c r="C36" i="18"/>
  <c r="C37" i="18"/>
  <c r="F340" i="19" s="1"/>
  <c r="R56" i="18"/>
  <c r="R54" i="18"/>
  <c r="R53" i="18"/>
  <c r="R52" i="18"/>
  <c r="Z45" i="18"/>
  <c r="Z44" i="18"/>
  <c r="Z46" i="18"/>
  <c r="Z41" i="18"/>
  <c r="AB41" i="18"/>
  <c r="Z40" i="18"/>
  <c r="Z42" i="18"/>
  <c r="AB40" i="18"/>
  <c r="R32" i="18"/>
  <c r="X33" i="18"/>
  <c r="X32" i="18"/>
  <c r="O19" i="18"/>
  <c r="O20" i="18"/>
  <c r="G17" i="9"/>
  <c r="L12" i="11" s="1"/>
  <c r="E19" i="19" s="1"/>
  <c r="G18" i="9"/>
  <c r="M12" i="11" s="1"/>
  <c r="L44" i="9"/>
  <c r="L43" i="9"/>
  <c r="L45" i="9"/>
  <c r="L64" i="9" s="1"/>
  <c r="K20" i="18"/>
  <c r="K71" i="19"/>
  <c r="F19" i="17"/>
  <c r="I71" i="19" s="1"/>
  <c r="E42" i="17"/>
  <c r="H195" i="19" s="1"/>
  <c r="F42" i="17"/>
  <c r="I195" i="19" s="1"/>
  <c r="I200" i="19" s="1"/>
  <c r="N183" i="7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228" i="7"/>
  <c r="B227" i="7"/>
  <c r="B22" i="9" s="1"/>
  <c r="N182" i="7"/>
  <c r="O182" i="7" s="1"/>
  <c r="N181" i="7"/>
  <c r="O181" i="7" s="1"/>
  <c r="N180" i="7"/>
  <c r="O180" i="7" s="1"/>
  <c r="N179" i="7"/>
  <c r="O179" i="7" s="1"/>
  <c r="N178" i="7"/>
  <c r="O178" i="7" s="1"/>
  <c r="N177" i="7"/>
  <c r="O177" i="7" s="1"/>
  <c r="N176" i="7"/>
  <c r="O176" i="7" s="1"/>
  <c r="N175" i="7"/>
  <c r="O175" i="7" s="1"/>
  <c r="N174" i="7"/>
  <c r="O174" i="7" s="1"/>
  <c r="N173" i="7"/>
  <c r="O173" i="7" s="1"/>
  <c r="N172" i="7"/>
  <c r="O172" i="7" s="1"/>
  <c r="N171" i="7"/>
  <c r="O171" i="7" s="1"/>
  <c r="N170" i="7"/>
  <c r="O170" i="7" s="1"/>
  <c r="N169" i="7"/>
  <c r="O169" i="7" s="1"/>
  <c r="N168" i="7"/>
  <c r="O168" i="7" s="1"/>
  <c r="N167" i="7"/>
  <c r="O167" i="7" s="1"/>
  <c r="N166" i="7"/>
  <c r="O166" i="7" s="1"/>
  <c r="N165" i="7"/>
  <c r="O165" i="7" s="1"/>
  <c r="N164" i="7"/>
  <c r="O164" i="7" s="1"/>
  <c r="N163" i="7"/>
  <c r="O163" i="7" s="1"/>
  <c r="N162" i="7"/>
  <c r="O162" i="7" s="1"/>
  <c r="N161" i="7"/>
  <c r="O161" i="7" s="1"/>
  <c r="N160" i="7"/>
  <c r="O160" i="7" s="1"/>
  <c r="N159" i="7"/>
  <c r="O159" i="7" s="1"/>
  <c r="N158" i="7"/>
  <c r="O158" i="7" s="1"/>
  <c r="N157" i="7"/>
  <c r="O157" i="7" s="1"/>
  <c r="N156" i="7"/>
  <c r="O156" i="7" s="1"/>
  <c r="N155" i="7"/>
  <c r="O155" i="7" s="1"/>
  <c r="N154" i="7"/>
  <c r="O154" i="7" s="1"/>
  <c r="N153" i="7"/>
  <c r="O153" i="7" s="1"/>
  <c r="N152" i="7"/>
  <c r="O152" i="7" s="1"/>
  <c r="N151" i="7"/>
  <c r="O151" i="7" s="1"/>
  <c r="N150" i="7"/>
  <c r="O150" i="7" s="1"/>
  <c r="N149" i="7"/>
  <c r="O149" i="7" s="1"/>
  <c r="N148" i="7"/>
  <c r="O148" i="7" s="1"/>
  <c r="N147" i="7"/>
  <c r="O147" i="7" s="1"/>
  <c r="N146" i="7"/>
  <c r="O146" i="7" s="1"/>
  <c r="N145" i="7"/>
  <c r="O145" i="7" s="1"/>
  <c r="N144" i="7"/>
  <c r="O144" i="7" s="1"/>
  <c r="N143" i="7"/>
  <c r="O143" i="7" s="1"/>
  <c r="N142" i="7"/>
  <c r="O142" i="7" s="1"/>
  <c r="N141" i="7"/>
  <c r="O141" i="7" s="1"/>
  <c r="N140" i="7"/>
  <c r="O140" i="7" s="1"/>
  <c r="N139" i="7"/>
  <c r="O139" i="7" s="1"/>
  <c r="N138" i="7"/>
  <c r="O138" i="7" s="1"/>
  <c r="N137" i="7"/>
  <c r="O137" i="7" s="1"/>
  <c r="N136" i="7"/>
  <c r="O136" i="7" s="1"/>
  <c r="N135" i="7"/>
  <c r="O135" i="7" s="1"/>
  <c r="N134" i="7"/>
  <c r="O134" i="7" s="1"/>
  <c r="N133" i="7"/>
  <c r="O133" i="7" s="1"/>
  <c r="N132" i="7"/>
  <c r="O132" i="7" s="1"/>
  <c r="N131" i="7"/>
  <c r="O131" i="7" s="1"/>
  <c r="N130" i="7"/>
  <c r="O130" i="7" s="1"/>
  <c r="N129" i="7"/>
  <c r="O129" i="7" s="1"/>
  <c r="N128" i="7"/>
  <c r="O128" i="7" s="1"/>
  <c r="N127" i="7"/>
  <c r="O127" i="7" s="1"/>
  <c r="N126" i="7"/>
  <c r="O126" i="7" s="1"/>
  <c r="N125" i="7"/>
  <c r="O125" i="7" s="1"/>
  <c r="N124" i="7"/>
  <c r="O124" i="7" s="1"/>
  <c r="N123" i="7"/>
  <c r="O123" i="7" s="1"/>
  <c r="N122" i="7"/>
  <c r="O122" i="7" s="1"/>
  <c r="N121" i="7"/>
  <c r="O121" i="7" s="1"/>
  <c r="N120" i="7"/>
  <c r="O120" i="7" s="1"/>
  <c r="N119" i="7"/>
  <c r="O119" i="7" s="1"/>
  <c r="N118" i="7"/>
  <c r="O118" i="7" s="1"/>
  <c r="N117" i="7"/>
  <c r="O117" i="7" s="1"/>
  <c r="N116" i="7"/>
  <c r="O116" i="7" s="1"/>
  <c r="N115" i="7"/>
  <c r="O115" i="7" s="1"/>
  <c r="N114" i="7"/>
  <c r="O114" i="7" s="1"/>
  <c r="N113" i="7"/>
  <c r="O113" i="7" s="1"/>
  <c r="N112" i="7"/>
  <c r="O112" i="7" s="1"/>
  <c r="N111" i="7"/>
  <c r="O111" i="7" s="1"/>
  <c r="N110" i="7"/>
  <c r="O110" i="7" s="1"/>
  <c r="N109" i="7"/>
  <c r="O109" i="7" s="1"/>
  <c r="N108" i="7"/>
  <c r="O108" i="7" s="1"/>
  <c r="N107" i="7"/>
  <c r="O107" i="7" s="1"/>
  <c r="N106" i="7"/>
  <c r="O106" i="7" s="1"/>
  <c r="N105" i="7"/>
  <c r="O105" i="7" s="1"/>
  <c r="N104" i="7"/>
  <c r="O104" i="7" s="1"/>
  <c r="N103" i="7"/>
  <c r="O103" i="7" s="1"/>
  <c r="N102" i="7"/>
  <c r="O102" i="7" s="1"/>
  <c r="N101" i="7"/>
  <c r="O101" i="7" s="1"/>
  <c r="N100" i="7"/>
  <c r="O100" i="7" s="1"/>
  <c r="N99" i="7"/>
  <c r="O99" i="7" s="1"/>
  <c r="N98" i="7"/>
  <c r="O98" i="7" s="1"/>
  <c r="N97" i="7"/>
  <c r="O97" i="7" s="1"/>
  <c r="N96" i="7"/>
  <c r="O96" i="7" s="1"/>
  <c r="N95" i="7"/>
  <c r="O95" i="7" s="1"/>
  <c r="N94" i="7"/>
  <c r="O94" i="7" s="1"/>
  <c r="N93" i="7"/>
  <c r="O93" i="7" s="1"/>
  <c r="N92" i="7"/>
  <c r="O92" i="7" s="1"/>
  <c r="N91" i="7"/>
  <c r="O91" i="7" s="1"/>
  <c r="N90" i="7"/>
  <c r="O90" i="7" s="1"/>
  <c r="N89" i="7"/>
  <c r="O89" i="7" s="1"/>
  <c r="N88" i="7"/>
  <c r="O88" i="7" s="1"/>
  <c r="N87" i="7"/>
  <c r="O87" i="7" s="1"/>
  <c r="N86" i="7"/>
  <c r="O86" i="7" s="1"/>
  <c r="N85" i="7"/>
  <c r="O85" i="7" s="1"/>
  <c r="N84" i="7"/>
  <c r="O84" i="7" s="1"/>
  <c r="N83" i="7"/>
  <c r="O83" i="7" s="1"/>
  <c r="N82" i="7"/>
  <c r="O82" i="7" s="1"/>
  <c r="N81" i="7"/>
  <c r="O81" i="7" s="1"/>
  <c r="N80" i="7"/>
  <c r="O80" i="7" s="1"/>
  <c r="N79" i="7"/>
  <c r="O79" i="7" s="1"/>
  <c r="N78" i="7"/>
  <c r="O78" i="7" s="1"/>
  <c r="N77" i="7"/>
  <c r="O77" i="7" s="1"/>
  <c r="N76" i="7"/>
  <c r="O76" i="7" s="1"/>
  <c r="N75" i="7"/>
  <c r="O75" i="7" s="1"/>
  <c r="N74" i="7"/>
  <c r="O74" i="7" s="1"/>
  <c r="N73" i="7"/>
  <c r="O73" i="7" s="1"/>
  <c r="N72" i="7"/>
  <c r="O72" i="7" s="1"/>
  <c r="N71" i="7"/>
  <c r="O71" i="7" s="1"/>
  <c r="N70" i="7"/>
  <c r="O70" i="7" s="1"/>
  <c r="N69" i="7"/>
  <c r="O69" i="7" s="1"/>
  <c r="N68" i="7"/>
  <c r="O68" i="7" s="1"/>
  <c r="N67" i="7"/>
  <c r="O67" i="7" s="1"/>
  <c r="N66" i="7"/>
  <c r="O66" i="7" s="1"/>
  <c r="N65" i="7"/>
  <c r="O65" i="7" s="1"/>
  <c r="N64" i="7"/>
  <c r="O64" i="7" s="1"/>
  <c r="N63" i="7"/>
  <c r="O63" i="7" s="1"/>
  <c r="N62" i="7"/>
  <c r="O62" i="7" s="1"/>
  <c r="N61" i="7"/>
  <c r="O61" i="7" s="1"/>
  <c r="N60" i="7"/>
  <c r="O60" i="7" s="1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O53" i="7" s="1"/>
  <c r="N52" i="7"/>
  <c r="O52" i="7" s="1"/>
  <c r="N51" i="7"/>
  <c r="O51" i="7" s="1"/>
  <c r="N50" i="7"/>
  <c r="O50" i="7" s="1"/>
  <c r="N49" i="7"/>
  <c r="O49" i="7" s="1"/>
  <c r="N48" i="7"/>
  <c r="O48" i="7" s="1"/>
  <c r="N47" i="7"/>
  <c r="O47" i="7" s="1"/>
  <c r="N46" i="7"/>
  <c r="O46" i="7" s="1"/>
  <c r="N45" i="7"/>
  <c r="O45" i="7" s="1"/>
  <c r="N44" i="7"/>
  <c r="O44" i="7" s="1"/>
  <c r="N43" i="7"/>
  <c r="O43" i="7" s="1"/>
  <c r="N42" i="7"/>
  <c r="O42" i="7" s="1"/>
  <c r="N41" i="7"/>
  <c r="O41" i="7" s="1"/>
  <c r="N40" i="7"/>
  <c r="O40" i="7" s="1"/>
  <c r="N39" i="7"/>
  <c r="O39" i="7" s="1"/>
  <c r="N38" i="7"/>
  <c r="O38" i="7" s="1"/>
  <c r="N37" i="7"/>
  <c r="O37" i="7" s="1"/>
  <c r="N36" i="7"/>
  <c r="O36" i="7" s="1"/>
  <c r="N35" i="7"/>
  <c r="O35" i="7" s="1"/>
  <c r="N34" i="7"/>
  <c r="O34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5" i="7" s="1"/>
  <c r="N4" i="7"/>
  <c r="L71" i="9"/>
  <c r="L77" i="9" s="1"/>
  <c r="R100" i="9"/>
  <c r="Q100" i="9"/>
  <c r="P100" i="9"/>
  <c r="O100" i="9"/>
  <c r="N100" i="9"/>
  <c r="M100" i="9"/>
  <c r="L100" i="9"/>
  <c r="K100" i="9"/>
  <c r="J100" i="9"/>
  <c r="I100" i="9"/>
  <c r="H100" i="9"/>
  <c r="G100" i="9"/>
  <c r="D247" i="7"/>
  <c r="D243" i="7"/>
  <c r="D241" i="7"/>
  <c r="D239" i="7"/>
  <c r="AC30" i="21"/>
  <c r="C246" i="7"/>
  <c r="C245" i="7"/>
  <c r="C242" i="7"/>
  <c r="C241" i="7"/>
  <c r="C239" i="7"/>
  <c r="C238" i="7"/>
  <c r="AC15" i="21"/>
  <c r="P49" i="11"/>
  <c r="I417" i="19" s="1"/>
  <c r="P44" i="11"/>
  <c r="I408" i="19" s="1"/>
  <c r="I412" i="19" s="1"/>
  <c r="P39" i="11"/>
  <c r="I399" i="19" s="1"/>
  <c r="I403" i="19" s="1"/>
  <c r="P34" i="11"/>
  <c r="I390" i="19" s="1"/>
  <c r="I394" i="19" s="1"/>
  <c r="P29" i="11"/>
  <c r="I381" i="19" s="1"/>
  <c r="I385" i="19" s="1"/>
  <c r="P25" i="11"/>
  <c r="I374" i="19" s="1"/>
  <c r="P21" i="11"/>
  <c r="I367" i="19" s="1"/>
  <c r="O21" i="11"/>
  <c r="H367" i="19" s="1"/>
  <c r="B226" i="7"/>
  <c r="B21" i="9" s="1"/>
  <c r="O82" i="9"/>
  <c r="G95" i="9"/>
  <c r="Q40" i="11"/>
  <c r="J400" i="19" s="1"/>
  <c r="E37" i="18"/>
  <c r="H340" i="19" s="1"/>
  <c r="D37" i="18"/>
  <c r="G340" i="19" s="1"/>
  <c r="B37" i="18"/>
  <c r="E340" i="19" s="1"/>
  <c r="B36" i="18"/>
  <c r="B40" i="18" s="1"/>
  <c r="G21" i="9"/>
  <c r="P12" i="11" s="1"/>
  <c r="O21" i="9"/>
  <c r="A21" i="9"/>
  <c r="H39" i="17"/>
  <c r="G39" i="17"/>
  <c r="D39" i="17"/>
  <c r="C39" i="17"/>
  <c r="B39" i="17"/>
  <c r="E15" i="18"/>
  <c r="O45" i="11"/>
  <c r="H409" i="19" s="1"/>
  <c r="P30" i="11"/>
  <c r="I382" i="19" s="1"/>
  <c r="O49" i="11"/>
  <c r="H417" i="19" s="1"/>
  <c r="O48" i="11"/>
  <c r="H416" i="19" s="1"/>
  <c r="O44" i="11"/>
  <c r="H408" i="19" s="1"/>
  <c r="H412" i="19" s="1"/>
  <c r="O40" i="11"/>
  <c r="H400" i="19" s="1"/>
  <c r="O39" i="11"/>
  <c r="H399" i="19" s="1"/>
  <c r="H403" i="19" s="1"/>
  <c r="O35" i="11"/>
  <c r="H391" i="19" s="1"/>
  <c r="O34" i="11"/>
  <c r="H390" i="19" s="1"/>
  <c r="H394" i="19" s="1"/>
  <c r="O30" i="11"/>
  <c r="H382" i="19" s="1"/>
  <c r="O29" i="11"/>
  <c r="H381" i="19" s="1"/>
  <c r="H385" i="19" s="1"/>
  <c r="O25" i="11"/>
  <c r="H374" i="19" s="1"/>
  <c r="A74" i="9"/>
  <c r="A77" i="9" s="1"/>
  <c r="A80" i="9" s="1"/>
  <c r="A23" i="9"/>
  <c r="J16" i="17"/>
  <c r="J15" i="17"/>
  <c r="D38" i="17"/>
  <c r="C38" i="17"/>
  <c r="B38" i="17"/>
  <c r="H38" i="17"/>
  <c r="H42" i="17" s="1"/>
  <c r="K195" i="19" s="1"/>
  <c r="G38" i="17"/>
  <c r="D36" i="18"/>
  <c r="O20" i="9"/>
  <c r="G20" i="9"/>
  <c r="O12" i="11" s="1"/>
  <c r="A20" i="9"/>
  <c r="B225" i="7"/>
  <c r="B20" i="9" s="1"/>
  <c r="N34" i="11"/>
  <c r="G390" i="19" s="1"/>
  <c r="G394" i="19" s="1"/>
  <c r="N29" i="11"/>
  <c r="G381" i="19" s="1"/>
  <c r="G385" i="19" s="1"/>
  <c r="N49" i="11"/>
  <c r="G417" i="19" s="1"/>
  <c r="N45" i="11"/>
  <c r="G409" i="19" s="1"/>
  <c r="N44" i="11"/>
  <c r="G408" i="19" s="1"/>
  <c r="G412" i="19" s="1"/>
  <c r="N40" i="11"/>
  <c r="G400" i="19" s="1"/>
  <c r="N39" i="11"/>
  <c r="G399" i="19" s="1"/>
  <c r="G403" i="19" s="1"/>
  <c r="N30" i="11"/>
  <c r="G382" i="19" s="1"/>
  <c r="N25" i="11"/>
  <c r="G374" i="19" s="1"/>
  <c r="N21" i="11"/>
  <c r="G367" i="19" s="1"/>
  <c r="N35" i="11"/>
  <c r="G391" i="19" s="1"/>
  <c r="N3" i="7"/>
  <c r="O3" i="7" s="1"/>
  <c r="P40" i="11"/>
  <c r="I400" i="19" s="1"/>
  <c r="D35" i="18"/>
  <c r="G338" i="19" s="1"/>
  <c r="E35" i="18"/>
  <c r="H338" i="19" s="1"/>
  <c r="C35" i="18"/>
  <c r="F338" i="19" s="1"/>
  <c r="B35" i="18"/>
  <c r="E338" i="19" s="1"/>
  <c r="M42" i="9"/>
  <c r="O19" i="9"/>
  <c r="G19" i="9"/>
  <c r="N12" i="11" s="1"/>
  <c r="A19" i="9"/>
  <c r="A43" i="9" s="1"/>
  <c r="B224" i="7"/>
  <c r="N4" i="11" s="1"/>
  <c r="G351" i="19" s="1"/>
  <c r="P43" i="11"/>
  <c r="I407" i="19" s="1"/>
  <c r="P28" i="11"/>
  <c r="I380" i="19" s="1"/>
  <c r="H37" i="17"/>
  <c r="G37" i="17"/>
  <c r="F37" i="17"/>
  <c r="D37" i="17"/>
  <c r="C37" i="17"/>
  <c r="B37" i="17"/>
  <c r="J42" i="9"/>
  <c r="J32" i="9"/>
  <c r="J31" i="9"/>
  <c r="J33" i="9"/>
  <c r="J34" i="9"/>
  <c r="J35" i="9"/>
  <c r="J36" i="9"/>
  <c r="J37" i="9"/>
  <c r="J38" i="9"/>
  <c r="J39" i="9"/>
  <c r="J40" i="9"/>
  <c r="J41" i="9"/>
  <c r="L4" i="7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29" i="11"/>
  <c r="F381" i="19" s="1"/>
  <c r="F385" i="19" s="1"/>
  <c r="M21" i="11"/>
  <c r="F367" i="19" s="1"/>
  <c r="M25" i="11"/>
  <c r="F374" i="19" s="1"/>
  <c r="M34" i="11"/>
  <c r="F390" i="19" s="1"/>
  <c r="F394" i="19" s="1"/>
  <c r="M39" i="11"/>
  <c r="F399" i="19" s="1"/>
  <c r="F403" i="19" s="1"/>
  <c r="M44" i="11"/>
  <c r="F408" i="19" s="1"/>
  <c r="F412" i="19" s="1"/>
  <c r="M49" i="11"/>
  <c r="F417" i="19" s="1"/>
  <c r="L21" i="11"/>
  <c r="L25" i="11"/>
  <c r="L29" i="11"/>
  <c r="L34" i="11"/>
  <c r="L39" i="11"/>
  <c r="L44" i="11"/>
  <c r="L49" i="11"/>
  <c r="E30" i="18"/>
  <c r="H333" i="19" s="1"/>
  <c r="E31" i="18"/>
  <c r="H334" i="19" s="1"/>
  <c r="E32" i="18"/>
  <c r="H335" i="19" s="1"/>
  <c r="E33" i="18"/>
  <c r="H336" i="19" s="1"/>
  <c r="E34" i="18"/>
  <c r="H337" i="19" s="1"/>
  <c r="D30" i="18"/>
  <c r="G333" i="19" s="1"/>
  <c r="D31" i="18"/>
  <c r="G334" i="19" s="1"/>
  <c r="D32" i="18"/>
  <c r="G335" i="19" s="1"/>
  <c r="D33" i="18"/>
  <c r="G336" i="19" s="1"/>
  <c r="D34" i="18"/>
  <c r="G337" i="19" s="1"/>
  <c r="C30" i="18"/>
  <c r="F333" i="19" s="1"/>
  <c r="C31" i="18"/>
  <c r="F334" i="19" s="1"/>
  <c r="C32" i="18"/>
  <c r="F335" i="19" s="1"/>
  <c r="C33" i="18"/>
  <c r="F336" i="19" s="1"/>
  <c r="C34" i="18"/>
  <c r="F337" i="19" s="1"/>
  <c r="B34" i="18"/>
  <c r="E337" i="19" s="1"/>
  <c r="B30" i="18"/>
  <c r="E333" i="19" s="1"/>
  <c r="B31" i="18"/>
  <c r="E334" i="19" s="1"/>
  <c r="B32" i="18"/>
  <c r="E335" i="19" s="1"/>
  <c r="B33" i="18"/>
  <c r="E336" i="19" s="1"/>
  <c r="K20" i="11"/>
  <c r="K24" i="11"/>
  <c r="K28" i="11"/>
  <c r="K33" i="11"/>
  <c r="J20" i="11"/>
  <c r="J24" i="11"/>
  <c r="J28" i="1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6" i="17" s="1"/>
  <c r="N43" i="11"/>
  <c r="G407" i="19" s="1"/>
  <c r="O38" i="11"/>
  <c r="H398" i="19" s="1"/>
  <c r="N38" i="11"/>
  <c r="G398" i="19" s="1"/>
  <c r="O28" i="11"/>
  <c r="H380" i="19" s="1"/>
  <c r="N28" i="11"/>
  <c r="G380" i="19" s="1"/>
  <c r="N24" i="11"/>
  <c r="G373" i="19" s="1"/>
  <c r="M159" i="7"/>
  <c r="M160" i="7"/>
  <c r="M161" i="7"/>
  <c r="M162" i="7"/>
  <c r="M163" i="7"/>
  <c r="M164" i="7"/>
  <c r="M165" i="7"/>
  <c r="M166" i="7"/>
  <c r="M167" i="7"/>
  <c r="M168" i="7"/>
  <c r="M169" i="7"/>
  <c r="M170" i="7"/>
  <c r="B223" i="7"/>
  <c r="B18" i="9" s="1"/>
  <c r="B221" i="7"/>
  <c r="B16" i="9" s="1"/>
  <c r="B222" i="7"/>
  <c r="B17" i="9" s="1"/>
  <c r="N20" i="11"/>
  <c r="G366" i="19" s="1"/>
  <c r="N33" i="11"/>
  <c r="G389" i="19" s="1"/>
  <c r="M154" i="7"/>
  <c r="M155" i="7"/>
  <c r="M156" i="7"/>
  <c r="M157" i="7"/>
  <c r="M158" i="7"/>
  <c r="M147" i="7"/>
  <c r="M148" i="7"/>
  <c r="M149" i="7"/>
  <c r="M150" i="7"/>
  <c r="M151" i="7"/>
  <c r="M152" i="7"/>
  <c r="M153" i="7"/>
  <c r="B212" i="7"/>
  <c r="B213" i="7"/>
  <c r="C4" i="11" s="1"/>
  <c r="B214" i="7"/>
  <c r="B9" i="9" s="1"/>
  <c r="B215" i="7"/>
  <c r="B10" i="9" s="1"/>
  <c r="E139" i="19" s="1"/>
  <c r="E4" i="11"/>
  <c r="B216" i="7"/>
  <c r="B11" i="9" s="1"/>
  <c r="B217" i="7"/>
  <c r="B12" i="9" s="1"/>
  <c r="E141" i="19" s="1"/>
  <c r="B218" i="7"/>
  <c r="H4" i="11" s="1"/>
  <c r="B219" i="7"/>
  <c r="I4" i="11" s="1"/>
  <c r="B220" i="7"/>
  <c r="J4" i="11" s="1"/>
  <c r="M32" i="9"/>
  <c r="M31" i="9"/>
  <c r="M33" i="9"/>
  <c r="M34" i="9"/>
  <c r="M35" i="9"/>
  <c r="M36" i="9"/>
  <c r="M37" i="9"/>
  <c r="M38" i="9"/>
  <c r="M39" i="9"/>
  <c r="M40" i="9"/>
  <c r="M41" i="9"/>
  <c r="L42" i="9"/>
  <c r="L32" i="9"/>
  <c r="L33" i="9"/>
  <c r="L31" i="9"/>
  <c r="L34" i="9"/>
  <c r="L35" i="9"/>
  <c r="L36" i="9"/>
  <c r="L37" i="9"/>
  <c r="L38" i="9"/>
  <c r="L39" i="9"/>
  <c r="L40" i="9"/>
  <c r="L41" i="9"/>
  <c r="D26" i="17"/>
  <c r="D27" i="17"/>
  <c r="D28" i="17"/>
  <c r="D29" i="17"/>
  <c r="D30" i="17"/>
  <c r="D31" i="17"/>
  <c r="D32" i="17"/>
  <c r="D33" i="17"/>
  <c r="D34" i="17"/>
  <c r="D35" i="17"/>
  <c r="D36" i="17"/>
  <c r="I42" i="9"/>
  <c r="I32" i="9"/>
  <c r="I31" i="9"/>
  <c r="I33" i="9"/>
  <c r="I34" i="9"/>
  <c r="I35" i="9"/>
  <c r="I36" i="9"/>
  <c r="I37" i="9"/>
  <c r="I38" i="9"/>
  <c r="I39" i="9"/>
  <c r="I40" i="9"/>
  <c r="I41" i="9"/>
  <c r="H42" i="9"/>
  <c r="H32" i="9"/>
  <c r="H33" i="9"/>
  <c r="H31" i="9"/>
  <c r="H34" i="9"/>
  <c r="H35" i="9"/>
  <c r="H36" i="9"/>
  <c r="H37" i="9"/>
  <c r="H38" i="9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36" i="17"/>
  <c r="N42" i="9"/>
  <c r="N32" i="9"/>
  <c r="N31" i="9"/>
  <c r="N33" i="9"/>
  <c r="N34" i="9"/>
  <c r="N35" i="9"/>
  <c r="N36" i="9"/>
  <c r="N37" i="9"/>
  <c r="N38" i="9"/>
  <c r="N39" i="9"/>
  <c r="N40" i="9"/>
  <c r="J14" i="17"/>
  <c r="J13" i="17"/>
  <c r="O18" i="9"/>
  <c r="O17" i="9"/>
  <c r="A22" i="9"/>
  <c r="K40" i="9"/>
  <c r="K32" i="9"/>
  <c r="K31" i="9"/>
  <c r="K33" i="9"/>
  <c r="K34" i="9"/>
  <c r="K35" i="9"/>
  <c r="K36" i="9"/>
  <c r="K37" i="9"/>
  <c r="K38" i="9"/>
  <c r="K39" i="9"/>
  <c r="D27" i="18"/>
  <c r="G330" i="19" s="1"/>
  <c r="D28" i="18"/>
  <c r="G331" i="19" s="1"/>
  <c r="D29" i="18"/>
  <c r="G332" i="19" s="1"/>
  <c r="E27" i="18"/>
  <c r="H330" i="19" s="1"/>
  <c r="E28" i="18"/>
  <c r="H331" i="19" s="1"/>
  <c r="E29" i="18"/>
  <c r="H332" i="19" s="1"/>
  <c r="B27" i="18"/>
  <c r="E330" i="19" s="1"/>
  <c r="B28" i="18"/>
  <c r="E331" i="19" s="1"/>
  <c r="B29" i="18"/>
  <c r="E332" i="19" s="1"/>
  <c r="C27" i="18"/>
  <c r="F330" i="19" s="1"/>
  <c r="C28" i="18"/>
  <c r="F331" i="19" s="1"/>
  <c r="C29" i="18"/>
  <c r="F332" i="19" s="1"/>
  <c r="M20" i="11"/>
  <c r="F366" i="19" s="1"/>
  <c r="M24" i="11"/>
  <c r="F373" i="19" s="1"/>
  <c r="M28" i="11"/>
  <c r="F380" i="19" s="1"/>
  <c r="L20" i="11"/>
  <c r="L24" i="11"/>
  <c r="L28" i="1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 s="1"/>
  <c r="E16" i="19" s="1"/>
  <c r="G15" i="9"/>
  <c r="J12" i="11" s="1"/>
  <c r="E17" i="19" s="1"/>
  <c r="G16" i="9"/>
  <c r="K12" i="11" s="1"/>
  <c r="E18" i="19" s="1"/>
  <c r="I45" i="11"/>
  <c r="I40" i="11"/>
  <c r="I35" i="11"/>
  <c r="I30" i="11"/>
  <c r="J21" i="1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398" i="19" s="1"/>
  <c r="M43" i="11"/>
  <c r="F407" i="19" s="1"/>
  <c r="M48" i="11"/>
  <c r="F416" i="19" s="1"/>
  <c r="I38" i="11"/>
  <c r="I43" i="11"/>
  <c r="I48" i="11"/>
  <c r="A47" i="11"/>
  <c r="B440" i="19" s="1"/>
  <c r="B452" i="19" s="1"/>
  <c r="B464" i="19" s="1"/>
  <c r="B476" i="19" s="1"/>
  <c r="B488" i="19" s="1"/>
  <c r="B500" i="19" s="1"/>
  <c r="A42" i="11"/>
  <c r="A37" i="11"/>
  <c r="A32" i="11"/>
  <c r="A27" i="11"/>
  <c r="B379" i="19" s="1"/>
  <c r="A23" i="11"/>
  <c r="G168" i="19"/>
  <c r="G189" i="19" s="1"/>
  <c r="H168" i="19"/>
  <c r="H189" i="19" s="1"/>
  <c r="I168" i="19"/>
  <c r="I189" i="19" s="1"/>
  <c r="J168" i="19"/>
  <c r="J189" i="19" s="1"/>
  <c r="I305" i="19"/>
  <c r="I344" i="19" s="1"/>
  <c r="C23" i="18"/>
  <c r="F326" i="19" s="1"/>
  <c r="D23" i="18"/>
  <c r="G326" i="19" s="1"/>
  <c r="E23" i="18"/>
  <c r="H326" i="19" s="1"/>
  <c r="C24" i="18"/>
  <c r="F327" i="19" s="1"/>
  <c r="D24" i="18"/>
  <c r="G327" i="19" s="1"/>
  <c r="E24" i="18"/>
  <c r="H327" i="19" s="1"/>
  <c r="C25" i="18"/>
  <c r="F328" i="19" s="1"/>
  <c r="D25" i="18"/>
  <c r="G328" i="19" s="1"/>
  <c r="E25" i="18"/>
  <c r="H328" i="19" s="1"/>
  <c r="C26" i="18"/>
  <c r="F329" i="19" s="1"/>
  <c r="D26" i="18"/>
  <c r="G329" i="19" s="1"/>
  <c r="E26" i="18"/>
  <c r="H329" i="19" s="1"/>
  <c r="B24" i="18"/>
  <c r="E327" i="19" s="1"/>
  <c r="B25" i="18"/>
  <c r="E328" i="19" s="1"/>
  <c r="B26" i="18"/>
  <c r="E329" i="19" s="1"/>
  <c r="B23" i="18"/>
  <c r="E326" i="19" s="1"/>
  <c r="B160" i="19"/>
  <c r="B180" i="19" s="1"/>
  <c r="B206" i="19" s="1"/>
  <c r="B226" i="19" s="1"/>
  <c r="B161" i="19"/>
  <c r="B181" i="19" s="1"/>
  <c r="B207" i="19" s="1"/>
  <c r="B227" i="19" s="1"/>
  <c r="B162" i="19"/>
  <c r="B182" i="19" s="1"/>
  <c r="B208" i="19" s="1"/>
  <c r="B228" i="19" s="1"/>
  <c r="B163" i="19"/>
  <c r="B183" i="19" s="1"/>
  <c r="B209" i="19" s="1"/>
  <c r="B229" i="19" s="1"/>
  <c r="B159" i="19"/>
  <c r="B179" i="19" s="1"/>
  <c r="B205" i="19" s="1"/>
  <c r="B225" i="19" s="1"/>
  <c r="B307" i="19" s="1"/>
  <c r="B326" i="19" s="1"/>
  <c r="E308" i="19"/>
  <c r="F308" i="19"/>
  <c r="G308" i="19"/>
  <c r="H308" i="19"/>
  <c r="E309" i="19"/>
  <c r="F309" i="19"/>
  <c r="G309" i="19"/>
  <c r="H309" i="19"/>
  <c r="E310" i="19"/>
  <c r="F310" i="19"/>
  <c r="G310" i="19"/>
  <c r="H310" i="19"/>
  <c r="E311" i="19"/>
  <c r="F311" i="19"/>
  <c r="G311" i="19"/>
  <c r="H311" i="19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I316" i="19" s="1"/>
  <c r="E307" i="19"/>
  <c r="F307" i="19"/>
  <c r="G307" i="19"/>
  <c r="H307" i="19"/>
  <c r="B164" i="19"/>
  <c r="B184" i="19" s="1"/>
  <c r="B210" i="19" s="1"/>
  <c r="B230" i="19" s="1"/>
  <c r="B312" i="19" s="1"/>
  <c r="B165" i="19"/>
  <c r="B185" i="19" s="1"/>
  <c r="B211" i="19" s="1"/>
  <c r="B231" i="19" s="1"/>
  <c r="B313" i="19" s="1"/>
  <c r="B166" i="19"/>
  <c r="B186" i="19" s="1"/>
  <c r="B212" i="19" s="1"/>
  <c r="B232" i="19" s="1"/>
  <c r="B314" i="19" s="1"/>
  <c r="B167" i="19"/>
  <c r="B187" i="19" s="1"/>
  <c r="B213" i="19" s="1"/>
  <c r="B233" i="19" s="1"/>
  <c r="B315" i="19" s="1"/>
  <c r="B168" i="19"/>
  <c r="B188" i="19" s="1"/>
  <c r="B214" i="19" s="1"/>
  <c r="B234" i="19" s="1"/>
  <c r="B316" i="19" s="1"/>
  <c r="F168" i="19"/>
  <c r="F189" i="19" s="1"/>
  <c r="K168" i="19"/>
  <c r="K189" i="19" s="1"/>
  <c r="F256" i="19"/>
  <c r="G256" i="19"/>
  <c r="H256" i="19"/>
  <c r="I256" i="19"/>
  <c r="J256" i="19"/>
  <c r="K256" i="19"/>
  <c r="E256" i="19"/>
  <c r="B241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D238" i="7"/>
  <c r="C240" i="7"/>
  <c r="J240" i="7" s="1"/>
  <c r="D242" i="7"/>
  <c r="C243" i="7"/>
  <c r="C244" i="7"/>
  <c r="D244" i="7"/>
  <c r="D245" i="7"/>
  <c r="D246" i="7"/>
  <c r="C247" i="7"/>
  <c r="C248" i="7"/>
  <c r="D248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4" i="19" s="1"/>
  <c r="B446" i="19" s="1"/>
  <c r="B458" i="19" s="1"/>
  <c r="B470" i="19" s="1"/>
  <c r="B482" i="19" s="1"/>
  <c r="B494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24" i="11"/>
  <c r="B28" i="11"/>
  <c r="B33" i="11"/>
  <c r="B38" i="11"/>
  <c r="B43" i="11"/>
  <c r="B48" i="11"/>
  <c r="G13" i="9"/>
  <c r="H12" i="11" s="1"/>
  <c r="E15" i="19" s="1"/>
  <c r="G12" i="9"/>
  <c r="G12" i="11" s="1"/>
  <c r="E14" i="19" s="1"/>
  <c r="G8" i="9"/>
  <c r="C12" i="11" s="1"/>
  <c r="E10" i="19" s="1"/>
  <c r="G7" i="9"/>
  <c r="B12" i="11" s="1"/>
  <c r="E9" i="19" s="1"/>
  <c r="G9" i="9"/>
  <c r="D12" i="11" s="1"/>
  <c r="E11" i="19" s="1"/>
  <c r="G10" i="9"/>
  <c r="E12" i="11" s="1"/>
  <c r="E12" i="19" s="1"/>
  <c r="G11" i="9"/>
  <c r="F12" i="11" s="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25" i="11"/>
  <c r="H34" i="11"/>
  <c r="H39" i="11"/>
  <c r="H44" i="11"/>
  <c r="H49" i="11"/>
  <c r="F7" i="18"/>
  <c r="G30" i="11"/>
  <c r="G35" i="11"/>
  <c r="G40" i="11"/>
  <c r="G45" i="11"/>
  <c r="G21" i="11"/>
  <c r="G25" i="1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L30" i="11"/>
  <c r="L35" i="11"/>
  <c r="L40" i="11"/>
  <c r="L45" i="11"/>
  <c r="F12" i="18"/>
  <c r="M30" i="11"/>
  <c r="F382" i="19" s="1"/>
  <c r="M35" i="11"/>
  <c r="F391" i="19" s="1"/>
  <c r="M40" i="11"/>
  <c r="F400" i="19" s="1"/>
  <c r="M45" i="11"/>
  <c r="F409" i="19" s="1"/>
  <c r="F13" i="18"/>
  <c r="N48" i="11"/>
  <c r="G416" i="19" s="1"/>
  <c r="O24" i="11"/>
  <c r="H373" i="19" s="1"/>
  <c r="O43" i="11"/>
  <c r="H407" i="19" s="1"/>
  <c r="O20" i="11"/>
  <c r="H366" i="19" s="1"/>
  <c r="O33" i="11"/>
  <c r="H389" i="19" s="1"/>
  <c r="F14" i="18"/>
  <c r="P33" i="11"/>
  <c r="I389" i="19" s="1"/>
  <c r="I16" i="17"/>
  <c r="P38" i="11"/>
  <c r="I398" i="19" s="1"/>
  <c r="J17" i="17"/>
  <c r="P20" i="11"/>
  <c r="I366" i="19" s="1"/>
  <c r="P24" i="11"/>
  <c r="I373" i="19" s="1"/>
  <c r="P48" i="11"/>
  <c r="I416" i="19" s="1"/>
  <c r="P45" i="11"/>
  <c r="I409" i="19" s="1"/>
  <c r="H35" i="17"/>
  <c r="H36" i="17"/>
  <c r="N41" i="9"/>
  <c r="N59" i="9" s="1"/>
  <c r="L48" i="11"/>
  <c r="Q48" i="11"/>
  <c r="J416" i="19" s="1"/>
  <c r="I17" i="17"/>
  <c r="I13" i="17"/>
  <c r="E35" i="17"/>
  <c r="K41" i="9"/>
  <c r="L33" i="11"/>
  <c r="I14" i="17"/>
  <c r="E36" i="17"/>
  <c r="K42" i="9"/>
  <c r="K60" i="9" s="1"/>
  <c r="M33" i="11"/>
  <c r="F389" i="19" s="1"/>
  <c r="I15" i="17"/>
  <c r="E37" i="17"/>
  <c r="L298" i="19"/>
  <c r="F16" i="18"/>
  <c r="P35" i="11"/>
  <c r="I391" i="19" s="1"/>
  <c r="E46" i="17"/>
  <c r="E47" i="17" s="1"/>
  <c r="Q38" i="11"/>
  <c r="J398" i="19" s="1"/>
  <c r="R38" i="11"/>
  <c r="N192" i="7"/>
  <c r="O192" i="7" s="1"/>
  <c r="D237" i="7"/>
  <c r="C237" i="7"/>
  <c r="AB30" i="21"/>
  <c r="AB15" i="21"/>
  <c r="E36" i="18"/>
  <c r="E40" i="18" s="1"/>
  <c r="F15" i="18"/>
  <c r="L4" i="11" l="1"/>
  <c r="F22" i="9"/>
  <c r="E151" i="19"/>
  <c r="D4" i="11"/>
  <c r="G4" i="11"/>
  <c r="J241" i="7"/>
  <c r="J239" i="7"/>
  <c r="O183" i="7"/>
  <c r="P4" i="11"/>
  <c r="P13" i="11" s="1"/>
  <c r="B4" i="11"/>
  <c r="B231" i="7"/>
  <c r="B19" i="9"/>
  <c r="E148" i="19" s="1"/>
  <c r="N193" i="7"/>
  <c r="O193" i="7" s="1"/>
  <c r="B14" i="9"/>
  <c r="E143" i="19" s="1"/>
  <c r="N187" i="7"/>
  <c r="O187" i="7" s="1"/>
  <c r="B8" i="9"/>
  <c r="E137" i="19" s="1"/>
  <c r="O4" i="11"/>
  <c r="O13" i="11" s="1"/>
  <c r="J61" i="9"/>
  <c r="I61" i="9"/>
  <c r="N55" i="9"/>
  <c r="H58" i="9"/>
  <c r="I54" i="9"/>
  <c r="M57" i="9"/>
  <c r="M53" i="9"/>
  <c r="K56" i="9"/>
  <c r="K57" i="9"/>
  <c r="E28" i="19"/>
  <c r="E74" i="19" s="1"/>
  <c r="E157" i="19" s="1"/>
  <c r="E177" i="19" s="1"/>
  <c r="E198" i="19" s="1"/>
  <c r="E203" i="19" s="1"/>
  <c r="E223" i="19" s="1"/>
  <c r="E244" i="19" s="1"/>
  <c r="E249" i="19" s="1"/>
  <c r="E254" i="19" s="1"/>
  <c r="E284" i="19" s="1"/>
  <c r="J53" i="9"/>
  <c r="B415" i="19"/>
  <c r="H50" i="9"/>
  <c r="L52" i="9"/>
  <c r="J51" i="9"/>
  <c r="L60" i="11"/>
  <c r="L64" i="11" s="1"/>
  <c r="K51" i="9"/>
  <c r="I53" i="11"/>
  <c r="I57" i="11" s="1"/>
  <c r="K54" i="9"/>
  <c r="K50" i="9"/>
  <c r="I50" i="9"/>
  <c r="G101" i="9"/>
  <c r="N60" i="9"/>
  <c r="H59" i="9"/>
  <c r="H55" i="9"/>
  <c r="I55" i="9"/>
  <c r="L58" i="9"/>
  <c r="L54" i="9"/>
  <c r="M58" i="9"/>
  <c r="M54" i="9"/>
  <c r="M50" i="9"/>
  <c r="J60" i="9"/>
  <c r="D40" i="18"/>
  <c r="D53" i="11"/>
  <c r="D57" i="11" s="1"/>
  <c r="E53" i="11"/>
  <c r="E57" i="11" s="1"/>
  <c r="K53" i="11"/>
  <c r="K57" i="11" s="1"/>
  <c r="J53" i="11"/>
  <c r="J57" i="11" s="1"/>
  <c r="L53" i="11"/>
  <c r="L57" i="11" s="1"/>
  <c r="M63" i="9"/>
  <c r="M64" i="9"/>
  <c r="C40" i="18"/>
  <c r="L61" i="9"/>
  <c r="F53" i="11"/>
  <c r="F57" i="11" s="1"/>
  <c r="N56" i="9"/>
  <c r="N52" i="9"/>
  <c r="N61" i="9"/>
  <c r="H57" i="9"/>
  <c r="H60" i="9"/>
  <c r="I56" i="9"/>
  <c r="I53" i="9"/>
  <c r="L59" i="9"/>
  <c r="L55" i="9"/>
  <c r="L50" i="9"/>
  <c r="M56" i="9"/>
  <c r="M51" i="9"/>
  <c r="F9" i="9"/>
  <c r="F16" i="9"/>
  <c r="J60" i="11"/>
  <c r="J64" i="11" s="1"/>
  <c r="K60" i="11"/>
  <c r="K64" i="11" s="1"/>
  <c r="P74" i="9"/>
  <c r="K358" i="19" s="1"/>
  <c r="H285" i="19"/>
  <c r="F285" i="19"/>
  <c r="G285" i="19"/>
  <c r="E285" i="19"/>
  <c r="K61" i="9"/>
  <c r="G53" i="11"/>
  <c r="G57" i="11" s="1"/>
  <c r="H53" i="11"/>
  <c r="H57" i="11" s="1"/>
  <c r="B53" i="11"/>
  <c r="B57" i="11" s="1"/>
  <c r="O53" i="11"/>
  <c r="O57" i="11" s="1"/>
  <c r="J52" i="9"/>
  <c r="K28" i="19"/>
  <c r="K74" i="19" s="1"/>
  <c r="K157" i="19" s="1"/>
  <c r="K177" i="19" s="1"/>
  <c r="K198" i="19" s="1"/>
  <c r="K203" i="19" s="1"/>
  <c r="K223" i="19" s="1"/>
  <c r="K244" i="19" s="1"/>
  <c r="K249" i="19" s="1"/>
  <c r="K254" i="19" s="1"/>
  <c r="K292" i="19" s="1"/>
  <c r="C53" i="11"/>
  <c r="C57" i="11" s="1"/>
  <c r="H51" i="9"/>
  <c r="L53" i="9"/>
  <c r="J57" i="9"/>
  <c r="H62" i="9"/>
  <c r="I63" i="9"/>
  <c r="M52" i="9"/>
  <c r="B60" i="11"/>
  <c r="J50" i="9"/>
  <c r="L62" i="9"/>
  <c r="C46" i="17"/>
  <c r="N63" i="9"/>
  <c r="N68" i="9" s="1"/>
  <c r="L60" i="9"/>
  <c r="N54" i="9"/>
  <c r="F46" i="17"/>
  <c r="J56" i="9"/>
  <c r="D46" i="17"/>
  <c r="G339" i="19"/>
  <c r="H339" i="19"/>
  <c r="E339" i="19"/>
  <c r="F339" i="19"/>
  <c r="C42" i="17"/>
  <c r="F195" i="19" s="1"/>
  <c r="F200" i="19" s="1"/>
  <c r="C47" i="17"/>
  <c r="I52" i="11"/>
  <c r="I56" i="11" s="1"/>
  <c r="H56" i="9"/>
  <c r="H61" i="9"/>
  <c r="I52" i="9"/>
  <c r="B42" i="17"/>
  <c r="E195" i="19" s="1"/>
  <c r="E200" i="19" s="1"/>
  <c r="K55" i="9"/>
  <c r="B46" i="17"/>
  <c r="B47" i="17" s="1"/>
  <c r="H46" i="17"/>
  <c r="H47" i="17" s="1"/>
  <c r="I59" i="9"/>
  <c r="K62" i="9"/>
  <c r="I57" i="9"/>
  <c r="M60" i="9"/>
  <c r="L63" i="9"/>
  <c r="C52" i="11"/>
  <c r="C56" i="11" s="1"/>
  <c r="E52" i="11"/>
  <c r="E56" i="11" s="1"/>
  <c r="F60" i="11"/>
  <c r="G52" i="11"/>
  <c r="G56" i="11" s="1"/>
  <c r="K52" i="9"/>
  <c r="K59" i="9"/>
  <c r="N57" i="9"/>
  <c r="N51" i="9"/>
  <c r="F47" i="17"/>
  <c r="H54" i="9"/>
  <c r="L57" i="9"/>
  <c r="J58" i="9"/>
  <c r="J54" i="9"/>
  <c r="J62" i="9"/>
  <c r="L52" i="11"/>
  <c r="L56" i="11" s="1"/>
  <c r="H63" i="9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O63" i="11"/>
  <c r="P52" i="11"/>
  <c r="H23" i="19" s="1"/>
  <c r="N53" i="9"/>
  <c r="H53" i="9"/>
  <c r="K58" i="9"/>
  <c r="G60" i="11"/>
  <c r="F52" i="11"/>
  <c r="J55" i="9"/>
  <c r="K398" i="19"/>
  <c r="F498" i="19" s="1"/>
  <c r="I60" i="11"/>
  <c r="I64" i="11" s="1"/>
  <c r="J52" i="11"/>
  <c r="H17" i="19" s="1"/>
  <c r="K52" i="11"/>
  <c r="H18" i="19" s="1"/>
  <c r="J63" i="9"/>
  <c r="C60" i="11"/>
  <c r="E60" i="11"/>
  <c r="D60" i="11"/>
  <c r="H60" i="11"/>
  <c r="R48" i="11"/>
  <c r="K473" i="19"/>
  <c r="J485" i="19"/>
  <c r="I395" i="19"/>
  <c r="E500" i="19"/>
  <c r="F488" i="19"/>
  <c r="J419" i="19"/>
  <c r="E483" i="19"/>
  <c r="F471" i="19"/>
  <c r="I376" i="19"/>
  <c r="I393" i="19"/>
  <c r="F473" i="19"/>
  <c r="E485" i="19"/>
  <c r="H393" i="19"/>
  <c r="E473" i="19"/>
  <c r="F461" i="19"/>
  <c r="J450" i="19"/>
  <c r="K438" i="19"/>
  <c r="L438" i="19" s="1"/>
  <c r="F404" i="19"/>
  <c r="J28" i="19"/>
  <c r="J74" i="19" s="1"/>
  <c r="J157" i="19" s="1"/>
  <c r="J177" i="19" s="1"/>
  <c r="J198" i="19" s="1"/>
  <c r="J203" i="19" s="1"/>
  <c r="J223" i="19" s="1"/>
  <c r="J244" i="19" s="1"/>
  <c r="J249" i="19" s="1"/>
  <c r="J254" i="19" s="1"/>
  <c r="J292" i="19" s="1"/>
  <c r="H305" i="19" s="1"/>
  <c r="H324" i="19" s="1"/>
  <c r="H344" i="19" s="1"/>
  <c r="B439" i="19"/>
  <c r="B451" i="19" s="1"/>
  <c r="B463" i="19" s="1"/>
  <c r="B475" i="19" s="1"/>
  <c r="B487" i="19" s="1"/>
  <c r="B499" i="19" s="1"/>
  <c r="F448" i="19"/>
  <c r="E460" i="19"/>
  <c r="G384" i="19"/>
  <c r="F451" i="19"/>
  <c r="G411" i="19"/>
  <c r="E463" i="19"/>
  <c r="E484" i="19"/>
  <c r="F472" i="19"/>
  <c r="I384" i="19"/>
  <c r="K449" i="19"/>
  <c r="G395" i="19"/>
  <c r="J461" i="19"/>
  <c r="H464" i="19"/>
  <c r="I452" i="19"/>
  <c r="G420" i="19"/>
  <c r="H471" i="19"/>
  <c r="I459" i="19"/>
  <c r="H377" i="19"/>
  <c r="J473" i="19"/>
  <c r="K461" i="19"/>
  <c r="L461" i="19" s="1"/>
  <c r="H395" i="19"/>
  <c r="H425" i="19"/>
  <c r="H429" i="19" s="1"/>
  <c r="J475" i="19"/>
  <c r="K463" i="19"/>
  <c r="H413" i="19"/>
  <c r="H488" i="19"/>
  <c r="I476" i="19"/>
  <c r="I420" i="19"/>
  <c r="M60" i="11"/>
  <c r="M64" i="11" s="1"/>
  <c r="H52" i="11"/>
  <c r="D52" i="11"/>
  <c r="M53" i="11"/>
  <c r="M57" i="11" s="1"/>
  <c r="P53" i="11"/>
  <c r="P57" i="11" s="1"/>
  <c r="N53" i="11"/>
  <c r="N57" i="11" s="1"/>
  <c r="F486" i="19"/>
  <c r="E498" i="19"/>
  <c r="J402" i="19"/>
  <c r="P63" i="11"/>
  <c r="E482" i="19"/>
  <c r="I423" i="19"/>
  <c r="I427" i="19" s="1"/>
  <c r="F470" i="19"/>
  <c r="I369" i="19"/>
  <c r="E470" i="19"/>
  <c r="H423" i="19"/>
  <c r="H427" i="19" s="1"/>
  <c r="F458" i="19"/>
  <c r="H369" i="19"/>
  <c r="F452" i="19"/>
  <c r="E464" i="19"/>
  <c r="G419" i="19"/>
  <c r="J449" i="19"/>
  <c r="K437" i="19"/>
  <c r="L437" i="19" s="1"/>
  <c r="F395" i="19"/>
  <c r="E452" i="19"/>
  <c r="F440" i="19"/>
  <c r="G440" i="19" s="1"/>
  <c r="F419" i="19"/>
  <c r="F436" i="19"/>
  <c r="G436" i="19" s="1"/>
  <c r="E448" i="19"/>
  <c r="F384" i="19"/>
  <c r="E461" i="19"/>
  <c r="F449" i="19"/>
  <c r="G393" i="19"/>
  <c r="E472" i="19"/>
  <c r="F460" i="19"/>
  <c r="H384" i="19"/>
  <c r="F360" i="19"/>
  <c r="E20" i="19"/>
  <c r="I411" i="19"/>
  <c r="E487" i="19"/>
  <c r="F475" i="19"/>
  <c r="G360" i="19"/>
  <c r="E21" i="19"/>
  <c r="G424" i="19"/>
  <c r="G428" i="19" s="1"/>
  <c r="I446" i="19"/>
  <c r="H458" i="19"/>
  <c r="G370" i="19"/>
  <c r="K450" i="19"/>
  <c r="G404" i="19"/>
  <c r="J462" i="19"/>
  <c r="E476" i="19"/>
  <c r="F464" i="19"/>
  <c r="H419" i="19"/>
  <c r="I360" i="19"/>
  <c r="E23" i="19"/>
  <c r="H424" i="19"/>
  <c r="H428" i="19" s="1"/>
  <c r="H470" i="19"/>
  <c r="I458" i="19"/>
  <c r="H370" i="19"/>
  <c r="F476" i="19"/>
  <c r="E488" i="19"/>
  <c r="I419" i="19"/>
  <c r="E486" i="19"/>
  <c r="F474" i="19"/>
  <c r="I402" i="19"/>
  <c r="F463" i="19"/>
  <c r="E475" i="19"/>
  <c r="H411" i="19"/>
  <c r="J448" i="19"/>
  <c r="F386" i="19"/>
  <c r="K436" i="19"/>
  <c r="H28" i="19"/>
  <c r="H74" i="19" s="1"/>
  <c r="H157" i="19" s="1"/>
  <c r="H177" i="19" s="1"/>
  <c r="H198" i="19" s="1"/>
  <c r="H203" i="19" s="1"/>
  <c r="H223" i="19" s="1"/>
  <c r="H244" i="19" s="1"/>
  <c r="H249" i="19" s="1"/>
  <c r="H254" i="19" s="1"/>
  <c r="H284" i="19" s="1"/>
  <c r="B437" i="19"/>
  <c r="B449" i="19" s="1"/>
  <c r="B461" i="19" s="1"/>
  <c r="B473" i="19" s="1"/>
  <c r="B485" i="19" s="1"/>
  <c r="B497" i="19" s="1"/>
  <c r="F439" i="19"/>
  <c r="G439" i="19" s="1"/>
  <c r="F411" i="19"/>
  <c r="E451" i="19"/>
  <c r="F435" i="19"/>
  <c r="G435" i="19" s="1"/>
  <c r="E447" i="19"/>
  <c r="F376" i="19"/>
  <c r="F446" i="19"/>
  <c r="E458" i="19"/>
  <c r="G423" i="19"/>
  <c r="G427" i="19" s="1"/>
  <c r="G369" i="19"/>
  <c r="F450" i="19"/>
  <c r="E462" i="19"/>
  <c r="G402" i="19"/>
  <c r="H452" i="19"/>
  <c r="I440" i="19"/>
  <c r="L440" i="19" s="1"/>
  <c r="F420" i="19"/>
  <c r="I435" i="19"/>
  <c r="L435" i="19" s="1"/>
  <c r="H447" i="19"/>
  <c r="F377" i="19"/>
  <c r="J486" i="19"/>
  <c r="K474" i="19"/>
  <c r="I404" i="19"/>
  <c r="H459" i="19"/>
  <c r="I447" i="19"/>
  <c r="G377" i="19"/>
  <c r="H360" i="19"/>
  <c r="E22" i="19"/>
  <c r="K460" i="19"/>
  <c r="J472" i="19"/>
  <c r="H386" i="19"/>
  <c r="J474" i="19"/>
  <c r="H404" i="19"/>
  <c r="K462" i="19"/>
  <c r="L462" i="19" s="1"/>
  <c r="I464" i="19"/>
  <c r="H476" i="19"/>
  <c r="H420" i="19"/>
  <c r="H482" i="19"/>
  <c r="I424" i="19"/>
  <c r="I428" i="19" s="1"/>
  <c r="I470" i="19"/>
  <c r="I370" i="19"/>
  <c r="M52" i="11"/>
  <c r="N52" i="11"/>
  <c r="O52" i="11"/>
  <c r="E449" i="19"/>
  <c r="F437" i="19"/>
  <c r="G437" i="19" s="1"/>
  <c r="F393" i="19"/>
  <c r="Q63" i="11"/>
  <c r="I425" i="19"/>
  <c r="I429" i="19" s="1"/>
  <c r="J487" i="19"/>
  <c r="K475" i="19"/>
  <c r="I413" i="19"/>
  <c r="P60" i="11"/>
  <c r="O60" i="11"/>
  <c r="F459" i="19"/>
  <c r="E471" i="19"/>
  <c r="H376" i="19"/>
  <c r="J451" i="19"/>
  <c r="F413" i="19"/>
  <c r="F425" i="19"/>
  <c r="F429" i="19" s="1"/>
  <c r="K439" i="19"/>
  <c r="L439" i="19" s="1"/>
  <c r="I28" i="19"/>
  <c r="I74" i="19" s="1"/>
  <c r="I157" i="19" s="1"/>
  <c r="I177" i="19" s="1"/>
  <c r="I198" i="19" s="1"/>
  <c r="I203" i="19" s="1"/>
  <c r="I223" i="19" s="1"/>
  <c r="I244" i="19" s="1"/>
  <c r="I249" i="19" s="1"/>
  <c r="I254" i="19" s="1"/>
  <c r="I284" i="19" s="1"/>
  <c r="B438" i="19"/>
  <c r="B450" i="19" s="1"/>
  <c r="B462" i="19" s="1"/>
  <c r="B474" i="19" s="1"/>
  <c r="B486" i="19" s="1"/>
  <c r="B498" i="19" s="1"/>
  <c r="E450" i="19"/>
  <c r="F438" i="19"/>
  <c r="G438" i="19" s="1"/>
  <c r="F402" i="19"/>
  <c r="F423" i="19"/>
  <c r="F427" i="19" s="1"/>
  <c r="F434" i="19"/>
  <c r="E446" i="19"/>
  <c r="F369" i="19"/>
  <c r="E459" i="19"/>
  <c r="F447" i="19"/>
  <c r="G376" i="19"/>
  <c r="F462" i="19"/>
  <c r="E474" i="19"/>
  <c r="H402" i="19"/>
  <c r="I434" i="19"/>
  <c r="F424" i="19"/>
  <c r="F428" i="19" s="1"/>
  <c r="H446" i="19"/>
  <c r="F370" i="19"/>
  <c r="K448" i="19"/>
  <c r="J460" i="19"/>
  <c r="G386" i="19"/>
  <c r="G425" i="19"/>
  <c r="G429" i="19" s="1"/>
  <c r="J463" i="19"/>
  <c r="K451" i="19"/>
  <c r="L451" i="19" s="1"/>
  <c r="G413" i="19"/>
  <c r="I386" i="19"/>
  <c r="J484" i="19"/>
  <c r="K472" i="19"/>
  <c r="K486" i="19"/>
  <c r="J498" i="19"/>
  <c r="J404" i="19"/>
  <c r="I471" i="19"/>
  <c r="H483" i="19"/>
  <c r="I377" i="19"/>
  <c r="E140" i="19"/>
  <c r="F11" i="9"/>
  <c r="J237" i="7"/>
  <c r="B7" i="9"/>
  <c r="E136" i="19" s="1"/>
  <c r="B15" i="9"/>
  <c r="K4" i="11"/>
  <c r="F4" i="11"/>
  <c r="B13" i="9"/>
  <c r="E142" i="19" s="1"/>
  <c r="N184" i="7"/>
  <c r="O184" i="7" s="1"/>
  <c r="E147" i="19"/>
  <c r="F18" i="9"/>
  <c r="N194" i="7"/>
  <c r="O194" i="7" s="1"/>
  <c r="J223" i="7"/>
  <c r="M5" i="11" s="1"/>
  <c r="F352" i="19" s="1"/>
  <c r="J222" i="7"/>
  <c r="N222" i="7" s="1"/>
  <c r="O222" i="7" s="1"/>
  <c r="N191" i="7"/>
  <c r="O191" i="7" s="1"/>
  <c r="N188" i="7"/>
  <c r="O188" i="7" s="1"/>
  <c r="J243" i="7"/>
  <c r="M4" i="11"/>
  <c r="F351" i="19" s="1"/>
  <c r="N185" i="7"/>
  <c r="O185" i="7" s="1"/>
  <c r="J224" i="7"/>
  <c r="J225" i="7"/>
  <c r="F10" i="9"/>
  <c r="J220" i="7"/>
  <c r="C15" i="9" s="1"/>
  <c r="D249" i="7"/>
  <c r="J226" i="7"/>
  <c r="E138" i="19"/>
  <c r="J248" i="7"/>
  <c r="N190" i="7"/>
  <c r="O190" i="7" s="1"/>
  <c r="N189" i="7"/>
  <c r="O189" i="7" s="1"/>
  <c r="J214" i="7"/>
  <c r="D5" i="11" s="1"/>
  <c r="J218" i="7"/>
  <c r="J247" i="7"/>
  <c r="J221" i="7"/>
  <c r="J219" i="7"/>
  <c r="N186" i="7"/>
  <c r="O186" i="7" s="1"/>
  <c r="J215" i="7"/>
  <c r="J217" i="7"/>
  <c r="J213" i="7"/>
  <c r="J246" i="7"/>
  <c r="F17" i="9"/>
  <c r="E146" i="19"/>
  <c r="F21" i="9"/>
  <c r="E150" i="19"/>
  <c r="F20" i="9"/>
  <c r="E149" i="19"/>
  <c r="J212" i="7"/>
  <c r="J244" i="7"/>
  <c r="J242" i="7"/>
  <c r="J245" i="7"/>
  <c r="O4" i="7"/>
  <c r="J216" i="7"/>
  <c r="C249" i="7"/>
  <c r="J238" i="7"/>
  <c r="G28" i="19"/>
  <c r="G74" i="19" s="1"/>
  <c r="G157" i="19" s="1"/>
  <c r="G177" i="19" s="1"/>
  <c r="G198" i="19" s="1"/>
  <c r="G203" i="19" s="1"/>
  <c r="G223" i="19" s="1"/>
  <c r="G244" i="19" s="1"/>
  <c r="G249" i="19" s="1"/>
  <c r="G254" i="19" s="1"/>
  <c r="B436" i="19"/>
  <c r="B448" i="19" s="1"/>
  <c r="B460" i="19" s="1"/>
  <c r="B472" i="19" s="1"/>
  <c r="B484" i="19" s="1"/>
  <c r="B496" i="19" s="1"/>
  <c r="F28" i="19"/>
  <c r="F74" i="19" s="1"/>
  <c r="F157" i="19" s="1"/>
  <c r="F177" i="19" s="1"/>
  <c r="F198" i="19" s="1"/>
  <c r="F203" i="19" s="1"/>
  <c r="F223" i="19" s="1"/>
  <c r="F244" i="19" s="1"/>
  <c r="F249" i="19" s="1"/>
  <c r="F254" i="19" s="1"/>
  <c r="B435" i="19"/>
  <c r="B447" i="19" s="1"/>
  <c r="B459" i="19" s="1"/>
  <c r="B471" i="19" s="1"/>
  <c r="B483" i="19" s="1"/>
  <c r="B495" i="19" s="1"/>
  <c r="B310" i="19"/>
  <c r="B329" i="19" s="1"/>
  <c r="I315" i="19"/>
  <c r="I314" i="19"/>
  <c r="I313" i="19"/>
  <c r="I312" i="19"/>
  <c r="I311" i="19"/>
  <c r="I310" i="19"/>
  <c r="I309" i="19"/>
  <c r="I308" i="19"/>
  <c r="B309" i="19"/>
  <c r="B328" i="19" s="1"/>
  <c r="B311" i="19"/>
  <c r="B330" i="19" s="1"/>
  <c r="B308" i="19"/>
  <c r="B327" i="19" s="1"/>
  <c r="G182" i="19"/>
  <c r="B388" i="19"/>
  <c r="B406" i="19"/>
  <c r="B397" i="19"/>
  <c r="K180" i="19"/>
  <c r="E145" i="19"/>
  <c r="F12" i="9"/>
  <c r="E84" i="19"/>
  <c r="E210" i="19" s="1"/>
  <c r="E86" i="19"/>
  <c r="E212" i="19" s="1"/>
  <c r="B81" i="19"/>
  <c r="B103" i="19" s="1"/>
  <c r="E85" i="19"/>
  <c r="E211" i="19" s="1"/>
  <c r="E88" i="19"/>
  <c r="E214" i="19" s="1"/>
  <c r="E83" i="19"/>
  <c r="E209" i="19" s="1"/>
  <c r="E81" i="19"/>
  <c r="E207" i="19" s="1"/>
  <c r="E80" i="19"/>
  <c r="E206" i="19" s="1"/>
  <c r="E82" i="19"/>
  <c r="E208" i="19" s="1"/>
  <c r="I181" i="19"/>
  <c r="E87" i="19"/>
  <c r="B85" i="19"/>
  <c r="B107" i="19" s="1"/>
  <c r="B83" i="19"/>
  <c r="B105" i="19" s="1"/>
  <c r="B56" i="19"/>
  <c r="F88" i="19"/>
  <c r="F214" i="19" s="1"/>
  <c r="H85" i="19"/>
  <c r="H211" i="19" s="1"/>
  <c r="F182" i="19"/>
  <c r="K188" i="19"/>
  <c r="B55" i="19"/>
  <c r="J87" i="19"/>
  <c r="J213" i="19" s="1"/>
  <c r="K85" i="19"/>
  <c r="K211" i="19" s="1"/>
  <c r="K84" i="19"/>
  <c r="K210" i="19" s="1"/>
  <c r="F186" i="19"/>
  <c r="H180" i="19"/>
  <c r="L40" i="19"/>
  <c r="K88" i="19"/>
  <c r="K214" i="19" s="1"/>
  <c r="J85" i="19"/>
  <c r="J211" i="19" s="1"/>
  <c r="H186" i="19"/>
  <c r="K185" i="19"/>
  <c r="F184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2" i="19" s="1"/>
  <c r="G87" i="19"/>
  <c r="G213" i="19" s="1"/>
  <c r="I88" i="19"/>
  <c r="I214" i="19" s="1"/>
  <c r="I83" i="19"/>
  <c r="I209" i="19" s="1"/>
  <c r="I80" i="19"/>
  <c r="I206" i="19" s="1"/>
  <c r="F181" i="19"/>
  <c r="J188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2" i="19" s="1"/>
  <c r="I84" i="19"/>
  <c r="I210" i="19" s="1"/>
  <c r="I85" i="19"/>
  <c r="I211" i="19" s="1"/>
  <c r="G82" i="19"/>
  <c r="G208" i="19" s="1"/>
  <c r="H80" i="19"/>
  <c r="H206" i="19" s="1"/>
  <c r="I79" i="19"/>
  <c r="I205" i="19" s="1"/>
  <c r="B82" i="19"/>
  <c r="B104" i="19" s="1"/>
  <c r="G83" i="19"/>
  <c r="G209" i="19" s="1"/>
  <c r="G229" i="19" s="1"/>
  <c r="K79" i="19"/>
  <c r="K205" i="19" s="1"/>
  <c r="J180" i="19"/>
  <c r="H188" i="19"/>
  <c r="K186" i="19"/>
  <c r="J186" i="19"/>
  <c r="F185" i="19"/>
  <c r="I184" i="19"/>
  <c r="G181" i="19"/>
  <c r="E181" i="19"/>
  <c r="F79" i="19"/>
  <c r="F205" i="19" s="1"/>
  <c r="G180" i="19"/>
  <c r="L42" i="19"/>
  <c r="B86" i="19"/>
  <c r="B108" i="19" s="1"/>
  <c r="B60" i="19"/>
  <c r="B77" i="19"/>
  <c r="F81" i="19"/>
  <c r="F207" i="19" s="1"/>
  <c r="F80" i="19"/>
  <c r="F206" i="19" s="1"/>
  <c r="L159" i="19"/>
  <c r="F180" i="19"/>
  <c r="J187" i="19"/>
  <c r="F188" i="19"/>
  <c r="I186" i="19"/>
  <c r="L162" i="19"/>
  <c r="H182" i="19"/>
  <c r="I185" i="19"/>
  <c r="G84" i="19"/>
  <c r="G210" i="19" s="1"/>
  <c r="E79" i="19"/>
  <c r="E205" i="19" s="1"/>
  <c r="F83" i="19"/>
  <c r="F209" i="19" s="1"/>
  <c r="H82" i="19"/>
  <c r="H208" i="19" s="1"/>
  <c r="K82" i="19"/>
  <c r="K208" i="19" s="1"/>
  <c r="K187" i="19"/>
  <c r="H184" i="19"/>
  <c r="G183" i="19"/>
  <c r="J182" i="19"/>
  <c r="L64" i="19"/>
  <c r="E180" i="19"/>
  <c r="H187" i="19"/>
  <c r="F187" i="19"/>
  <c r="H88" i="19"/>
  <c r="H214" i="19" s="1"/>
  <c r="F82" i="19"/>
  <c r="F208" i="19" s="1"/>
  <c r="G79" i="19"/>
  <c r="G205" i="19" s="1"/>
  <c r="K86" i="19"/>
  <c r="K212" i="19" s="1"/>
  <c r="J83" i="19"/>
  <c r="J209" i="19" s="1"/>
  <c r="J86" i="19"/>
  <c r="J212" i="19" s="1"/>
  <c r="G185" i="19"/>
  <c r="L33" i="19"/>
  <c r="H87" i="19"/>
  <c r="H213" i="19" s="1"/>
  <c r="L62" i="19"/>
  <c r="L58" i="19"/>
  <c r="J81" i="19"/>
  <c r="J207" i="19" s="1"/>
  <c r="H185" i="19"/>
  <c r="L165" i="19"/>
  <c r="I188" i="19"/>
  <c r="L168" i="19"/>
  <c r="H84" i="19"/>
  <c r="H210" i="19" s="1"/>
  <c r="G86" i="19"/>
  <c r="G212" i="19" s="1"/>
  <c r="L63" i="19"/>
  <c r="L57" i="19"/>
  <c r="I81" i="19"/>
  <c r="I207" i="19" s="1"/>
  <c r="K87" i="19"/>
  <c r="K213" i="19" s="1"/>
  <c r="J84" i="19"/>
  <c r="J210" i="19" s="1"/>
  <c r="J82" i="19"/>
  <c r="J208" i="19" s="1"/>
  <c r="K80" i="19"/>
  <c r="K206" i="19" s="1"/>
  <c r="J80" i="19"/>
  <c r="J206" i="19" s="1"/>
  <c r="L164" i="19"/>
  <c r="H183" i="19"/>
  <c r="K182" i="19"/>
  <c r="K181" i="19"/>
  <c r="I180" i="19"/>
  <c r="L60" i="19"/>
  <c r="L161" i="19"/>
  <c r="L160" i="19"/>
  <c r="L166" i="19"/>
  <c r="G88" i="19"/>
  <c r="G214" i="19" s="1"/>
  <c r="L56" i="19"/>
  <c r="L55" i="19"/>
  <c r="I82" i="19"/>
  <c r="I208" i="19" s="1"/>
  <c r="J88" i="19"/>
  <c r="J214" i="19" s="1"/>
  <c r="K83" i="19"/>
  <c r="K209" i="19" s="1"/>
  <c r="K81" i="19"/>
  <c r="K207" i="19" s="1"/>
  <c r="J79" i="19"/>
  <c r="J205" i="19" s="1"/>
  <c r="G184" i="19"/>
  <c r="I183" i="19"/>
  <c r="F183" i="19"/>
  <c r="J181" i="19"/>
  <c r="F85" i="19"/>
  <c r="F211" i="19" s="1"/>
  <c r="L39" i="19"/>
  <c r="H86" i="19"/>
  <c r="H212" i="19" s="1"/>
  <c r="L61" i="19"/>
  <c r="B88" i="19"/>
  <c r="B110" i="19" s="1"/>
  <c r="B64" i="19"/>
  <c r="F87" i="19"/>
  <c r="F213" i="19" s="1"/>
  <c r="L59" i="19"/>
  <c r="H83" i="19"/>
  <c r="H209" i="19" s="1"/>
  <c r="L37" i="19"/>
  <c r="F84" i="19"/>
  <c r="F210" i="19" s="1"/>
  <c r="L38" i="19"/>
  <c r="L35" i="19"/>
  <c r="G81" i="19"/>
  <c r="G207" i="19" s="1"/>
  <c r="L41" i="19"/>
  <c r="G187" i="19"/>
  <c r="G186" i="19"/>
  <c r="J185" i="19"/>
  <c r="I182" i="19"/>
  <c r="G188" i="19"/>
  <c r="B87" i="19"/>
  <c r="B109" i="19" s="1"/>
  <c r="B63" i="19"/>
  <c r="I87" i="19"/>
  <c r="I213" i="19" s="1"/>
  <c r="G80" i="19"/>
  <c r="G206" i="19" s="1"/>
  <c r="H81" i="19"/>
  <c r="H207" i="19" s="1"/>
  <c r="H79" i="19"/>
  <c r="H205" i="19" s="1"/>
  <c r="K183" i="19"/>
  <c r="J183" i="19"/>
  <c r="J184" i="19"/>
  <c r="L163" i="19"/>
  <c r="I187" i="19"/>
  <c r="L34" i="19"/>
  <c r="G85" i="19"/>
  <c r="G211" i="19" s="1"/>
  <c r="L36" i="19"/>
  <c r="K184" i="19"/>
  <c r="H181" i="19"/>
  <c r="I307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1" i="9"/>
  <c r="L101" i="9"/>
  <c r="P101" i="9"/>
  <c r="I101" i="9"/>
  <c r="M101" i="9"/>
  <c r="Q101" i="9"/>
  <c r="J101" i="9"/>
  <c r="N101" i="9"/>
  <c r="R101" i="9"/>
  <c r="K101" i="9"/>
  <c r="O101" i="9"/>
  <c r="I285" i="19"/>
  <c r="R14" i="11"/>
  <c r="J358" i="19"/>
  <c r="D6" i="11" l="1"/>
  <c r="F26" i="9"/>
  <c r="R8" i="11" s="1"/>
  <c r="C17" i="9"/>
  <c r="F146" i="19" s="1"/>
  <c r="G146" i="19" s="1"/>
  <c r="F19" i="9"/>
  <c r="I351" i="19"/>
  <c r="N195" i="7"/>
  <c r="O195" i="7"/>
  <c r="E124" i="19" s="1"/>
  <c r="O7" i="11"/>
  <c r="O8" i="11" s="1"/>
  <c r="H351" i="19"/>
  <c r="F7" i="9"/>
  <c r="P7" i="11"/>
  <c r="P8" i="11" s="1"/>
  <c r="D15" i="9"/>
  <c r="E15" i="9" s="1"/>
  <c r="F8" i="9"/>
  <c r="F14" i="9"/>
  <c r="J249" i="7"/>
  <c r="E292" i="19"/>
  <c r="M65" i="11"/>
  <c r="H12" i="19"/>
  <c r="L65" i="11"/>
  <c r="H14" i="19"/>
  <c r="L68" i="9"/>
  <c r="I241" i="19" s="1"/>
  <c r="H68" i="9"/>
  <c r="H66" i="9" s="1"/>
  <c r="I292" i="19"/>
  <c r="G305" i="19" s="1"/>
  <c r="G324" i="19" s="1"/>
  <c r="G344" i="19" s="1"/>
  <c r="J56" i="11"/>
  <c r="M68" i="9"/>
  <c r="J241" i="19" s="1"/>
  <c r="K68" i="9"/>
  <c r="H241" i="19" s="1"/>
  <c r="J65" i="11"/>
  <c r="G476" i="19"/>
  <c r="L450" i="19"/>
  <c r="J68" i="9"/>
  <c r="J66" i="9" s="1"/>
  <c r="K65" i="11"/>
  <c r="I68" i="9"/>
  <c r="F241" i="19" s="1"/>
  <c r="K284" i="19"/>
  <c r="L486" i="19"/>
  <c r="L464" i="19"/>
  <c r="G462" i="19"/>
  <c r="G347" i="19"/>
  <c r="R40" i="11"/>
  <c r="K400" i="19" s="1"/>
  <c r="L475" i="19"/>
  <c r="F13" i="9"/>
  <c r="J284" i="19"/>
  <c r="O64" i="11"/>
  <c r="O65" i="11" s="1"/>
  <c r="G463" i="19"/>
  <c r="L452" i="19"/>
  <c r="H292" i="19"/>
  <c r="F305" i="19" s="1"/>
  <c r="F324" i="19" s="1"/>
  <c r="F344" i="19" s="1"/>
  <c r="L447" i="19"/>
  <c r="P56" i="11"/>
  <c r="K402" i="19"/>
  <c r="K56" i="11"/>
  <c r="H341" i="19"/>
  <c r="E42" i="18"/>
  <c r="J489" i="19"/>
  <c r="L473" i="19"/>
  <c r="G286" i="19"/>
  <c r="B42" i="18"/>
  <c r="E341" i="19"/>
  <c r="I286" i="19"/>
  <c r="G341" i="19"/>
  <c r="D42" i="18"/>
  <c r="H286" i="19"/>
  <c r="F341" i="19"/>
  <c r="R50" i="18"/>
  <c r="C42" i="18"/>
  <c r="G450" i="19"/>
  <c r="G452" i="19"/>
  <c r="H10" i="19"/>
  <c r="G230" i="19"/>
  <c r="E453" i="19"/>
  <c r="P64" i="11"/>
  <c r="H16" i="19"/>
  <c r="I17" i="19" s="1"/>
  <c r="J17" i="19" s="1"/>
  <c r="H13" i="19"/>
  <c r="F56" i="11"/>
  <c r="O49" i="18"/>
  <c r="G471" i="19"/>
  <c r="H19" i="19"/>
  <c r="I19" i="19" s="1"/>
  <c r="J19" i="19" s="1"/>
  <c r="G42" i="17"/>
  <c r="G47" i="17"/>
  <c r="D42" i="17"/>
  <c r="D47" i="17"/>
  <c r="N66" i="9"/>
  <c r="K241" i="19"/>
  <c r="G498" i="19"/>
  <c r="B19" i="17"/>
  <c r="E70" i="19"/>
  <c r="E94" i="19" s="1"/>
  <c r="Q20" i="11"/>
  <c r="B56" i="11"/>
  <c r="H9" i="19"/>
  <c r="K416" i="19"/>
  <c r="R63" i="11"/>
  <c r="E241" i="19"/>
  <c r="C19" i="17"/>
  <c r="F70" i="19"/>
  <c r="Q24" i="11"/>
  <c r="J373" i="19" s="1"/>
  <c r="G459" i="19"/>
  <c r="J477" i="19"/>
  <c r="L474" i="19"/>
  <c r="G449" i="19"/>
  <c r="E489" i="19"/>
  <c r="L463" i="19"/>
  <c r="G472" i="19"/>
  <c r="G451" i="19"/>
  <c r="I18" i="19"/>
  <c r="J18" i="19" s="1"/>
  <c r="L471" i="19"/>
  <c r="K477" i="19"/>
  <c r="L472" i="19"/>
  <c r="J465" i="19"/>
  <c r="H22" i="19"/>
  <c r="O56" i="11"/>
  <c r="L460" i="19"/>
  <c r="K465" i="19"/>
  <c r="E465" i="19"/>
  <c r="J453" i="19"/>
  <c r="G464" i="19"/>
  <c r="F21" i="19"/>
  <c r="G21" i="19" s="1"/>
  <c r="G460" i="19"/>
  <c r="E477" i="19"/>
  <c r="H56" i="11"/>
  <c r="H15" i="19"/>
  <c r="G461" i="19"/>
  <c r="G473" i="19"/>
  <c r="M6" i="11"/>
  <c r="L448" i="19"/>
  <c r="K453" i="19"/>
  <c r="I441" i="19"/>
  <c r="H453" i="19" s="1"/>
  <c r="L434" i="19"/>
  <c r="H21" i="19"/>
  <c r="N56" i="11"/>
  <c r="I477" i="19"/>
  <c r="H489" i="19" s="1"/>
  <c r="L470" i="19"/>
  <c r="F22" i="19"/>
  <c r="G22" i="19" s="1"/>
  <c r="G446" i="19"/>
  <c r="F453" i="19"/>
  <c r="G474" i="19"/>
  <c r="F23" i="19"/>
  <c r="G23" i="19" s="1"/>
  <c r="F20" i="19"/>
  <c r="G20" i="19" s="1"/>
  <c r="F477" i="19"/>
  <c r="G470" i="19"/>
  <c r="D56" i="11"/>
  <c r="H11" i="19"/>
  <c r="L449" i="19"/>
  <c r="G447" i="19"/>
  <c r="F441" i="19"/>
  <c r="G434" i="19"/>
  <c r="H20" i="19"/>
  <c r="M56" i="11"/>
  <c r="L436" i="19"/>
  <c r="K441" i="19"/>
  <c r="I465" i="19"/>
  <c r="H477" i="19" s="1"/>
  <c r="L458" i="19"/>
  <c r="L446" i="19"/>
  <c r="I453" i="19"/>
  <c r="H465" i="19" s="1"/>
  <c r="G475" i="19"/>
  <c r="G458" i="19"/>
  <c r="F465" i="19"/>
  <c r="G486" i="19"/>
  <c r="L476" i="19"/>
  <c r="L459" i="19"/>
  <c r="G448" i="19"/>
  <c r="G488" i="19"/>
  <c r="N65" i="11"/>
  <c r="F292" i="19"/>
  <c r="B372" i="19" s="1"/>
  <c r="F284" i="19"/>
  <c r="G292" i="19"/>
  <c r="E305" i="19" s="1"/>
  <c r="E324" i="19" s="1"/>
  <c r="E344" i="19" s="1"/>
  <c r="G284" i="19"/>
  <c r="H229" i="19"/>
  <c r="K229" i="19"/>
  <c r="I233" i="19"/>
  <c r="K232" i="19"/>
  <c r="F353" i="19"/>
  <c r="N223" i="7"/>
  <c r="O223" i="7" s="1"/>
  <c r="C18" i="9"/>
  <c r="E144" i="19"/>
  <c r="F15" i="9"/>
  <c r="L5" i="11"/>
  <c r="L6" i="11" s="1"/>
  <c r="J228" i="7"/>
  <c r="N228" i="7" s="1"/>
  <c r="F144" i="19"/>
  <c r="F28" i="9"/>
  <c r="C19" i="9"/>
  <c r="N224" i="7"/>
  <c r="O224" i="7" s="1"/>
  <c r="N5" i="11"/>
  <c r="P5" i="11"/>
  <c r="C21" i="9"/>
  <c r="N226" i="7"/>
  <c r="O226" i="7" s="1"/>
  <c r="J227" i="7"/>
  <c r="N227" i="7" s="1"/>
  <c r="O227" i="7" s="1"/>
  <c r="J208" i="7"/>
  <c r="N220" i="7"/>
  <c r="O220" i="7" s="1"/>
  <c r="J5" i="11"/>
  <c r="J6" i="11" s="1"/>
  <c r="O5" i="11"/>
  <c r="C20" i="9"/>
  <c r="N225" i="7"/>
  <c r="O225" i="7" s="1"/>
  <c r="C14" i="9"/>
  <c r="I5" i="11"/>
  <c r="I6" i="11" s="1"/>
  <c r="N219" i="7"/>
  <c r="O219" i="7" s="1"/>
  <c r="N218" i="7"/>
  <c r="O218" i="7" s="1"/>
  <c r="H5" i="11"/>
  <c r="H6" i="11" s="1"/>
  <c r="C13" i="9"/>
  <c r="K5" i="11"/>
  <c r="K6" i="11" s="1"/>
  <c r="N221" i="7"/>
  <c r="O221" i="7" s="1"/>
  <c r="C16" i="9"/>
  <c r="N214" i="7"/>
  <c r="O214" i="7" s="1"/>
  <c r="C9" i="9"/>
  <c r="C23" i="9"/>
  <c r="F5" i="11"/>
  <c r="F6" i="11" s="1"/>
  <c r="N216" i="7"/>
  <c r="O216" i="7" s="1"/>
  <c r="C11" i="9"/>
  <c r="N217" i="7"/>
  <c r="O217" i="7" s="1"/>
  <c r="C12" i="9"/>
  <c r="G5" i="11"/>
  <c r="G6" i="11" s="1"/>
  <c r="C7" i="9"/>
  <c r="B5" i="11"/>
  <c r="B6" i="11" s="1"/>
  <c r="N212" i="7"/>
  <c r="O212" i="7" s="1"/>
  <c r="C5" i="11"/>
  <c r="C6" i="11" s="1"/>
  <c r="N213" i="7"/>
  <c r="O213" i="7" s="1"/>
  <c r="C8" i="9"/>
  <c r="E5" i="11"/>
  <c r="E6" i="11" s="1"/>
  <c r="C10" i="9"/>
  <c r="N215" i="7"/>
  <c r="O215" i="7" s="1"/>
  <c r="H232" i="19"/>
  <c r="J232" i="19"/>
  <c r="F228" i="19"/>
  <c r="E231" i="19"/>
  <c r="I228" i="19"/>
  <c r="J228" i="19"/>
  <c r="F229" i="19"/>
  <c r="I230" i="19"/>
  <c r="K233" i="19"/>
  <c r="F226" i="19"/>
  <c r="E229" i="19"/>
  <c r="H227" i="19"/>
  <c r="G227" i="19"/>
  <c r="G232" i="19"/>
  <c r="J229" i="19"/>
  <c r="K228" i="19"/>
  <c r="F232" i="19"/>
  <c r="F231" i="19"/>
  <c r="E228" i="19"/>
  <c r="H233" i="19"/>
  <c r="J233" i="19"/>
  <c r="E232" i="19"/>
  <c r="H234" i="19"/>
  <c r="H235" i="19"/>
  <c r="G228" i="19"/>
  <c r="K230" i="19"/>
  <c r="G231" i="19"/>
  <c r="J234" i="19"/>
  <c r="J235" i="19"/>
  <c r="G234" i="19"/>
  <c r="G235" i="19"/>
  <c r="I227" i="19"/>
  <c r="H230" i="19"/>
  <c r="H228" i="19"/>
  <c r="F227" i="19"/>
  <c r="I231" i="19"/>
  <c r="I229" i="19"/>
  <c r="J231" i="19"/>
  <c r="K231" i="19"/>
  <c r="H231" i="19"/>
  <c r="E235" i="19"/>
  <c r="J226" i="19"/>
  <c r="I234" i="19"/>
  <c r="I235" i="19"/>
  <c r="K234" i="19"/>
  <c r="K235" i="19"/>
  <c r="F234" i="19"/>
  <c r="F235" i="19"/>
  <c r="F230" i="19"/>
  <c r="F233" i="19"/>
  <c r="K227" i="19"/>
  <c r="J230" i="19"/>
  <c r="J227" i="19"/>
  <c r="I232" i="19"/>
  <c r="G233" i="19"/>
  <c r="E227" i="19"/>
  <c r="E230" i="19"/>
  <c r="G226" i="19"/>
  <c r="H226" i="19"/>
  <c r="K226" i="19"/>
  <c r="E226" i="19"/>
  <c r="I226" i="19"/>
  <c r="E109" i="19"/>
  <c r="E213" i="19"/>
  <c r="E233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S101" i="9"/>
  <c r="D17" i="9" l="1"/>
  <c r="E17" i="9" s="1"/>
  <c r="J231" i="7"/>
  <c r="N231" i="7" s="1"/>
  <c r="F153" i="19"/>
  <c r="N249" i="7"/>
  <c r="O249" i="7" s="1"/>
  <c r="L66" i="9"/>
  <c r="I14" i="19"/>
  <c r="J14" i="19" s="1"/>
  <c r="M66" i="9"/>
  <c r="M47" i="9" s="1"/>
  <c r="P65" i="11"/>
  <c r="I66" i="9"/>
  <c r="I47" i="9" s="1"/>
  <c r="I71" i="9" s="1"/>
  <c r="I77" i="9" s="1"/>
  <c r="K66" i="9"/>
  <c r="K47" i="9" s="1"/>
  <c r="I13" i="19"/>
  <c r="J13" i="19" s="1"/>
  <c r="I10" i="19"/>
  <c r="J10" i="19" s="1"/>
  <c r="G241" i="19"/>
  <c r="K498" i="19"/>
  <c r="L498" i="19" s="1"/>
  <c r="K404" i="19"/>
  <c r="L286" i="19"/>
  <c r="H47" i="9"/>
  <c r="H71" i="9" s="1"/>
  <c r="J366" i="19"/>
  <c r="F71" i="19"/>
  <c r="R24" i="11"/>
  <c r="N47" i="9"/>
  <c r="N71" i="9" s="1"/>
  <c r="N77" i="9" s="1"/>
  <c r="J195" i="19"/>
  <c r="J200" i="19" s="1"/>
  <c r="F500" i="19"/>
  <c r="G500" i="19" s="1"/>
  <c r="K419" i="19"/>
  <c r="F483" i="19"/>
  <c r="G483" i="19" s="1"/>
  <c r="J376" i="19"/>
  <c r="E495" i="19"/>
  <c r="G195" i="19"/>
  <c r="O54" i="18"/>
  <c r="O50" i="18"/>
  <c r="J47" i="9"/>
  <c r="E71" i="19"/>
  <c r="R20" i="11"/>
  <c r="I20" i="19"/>
  <c r="J20" i="19" s="1"/>
  <c r="I21" i="19"/>
  <c r="J21" i="19" s="1"/>
  <c r="G441" i="19"/>
  <c r="I12" i="19"/>
  <c r="J12" i="19" s="1"/>
  <c r="I11" i="19"/>
  <c r="J11" i="19" s="1"/>
  <c r="G453" i="19"/>
  <c r="G477" i="19"/>
  <c r="I15" i="19"/>
  <c r="J15" i="19" s="1"/>
  <c r="I16" i="19"/>
  <c r="J16" i="19" s="1"/>
  <c r="G465" i="19"/>
  <c r="I22" i="19"/>
  <c r="J22" i="19" s="1"/>
  <c r="I23" i="19"/>
  <c r="J23" i="19" s="1"/>
  <c r="C22" i="9"/>
  <c r="F151" i="19" s="1"/>
  <c r="G151" i="19" s="1"/>
  <c r="G144" i="19"/>
  <c r="F147" i="19"/>
  <c r="G147" i="19" s="1"/>
  <c r="D18" i="9"/>
  <c r="E18" i="9" s="1"/>
  <c r="J233" i="7"/>
  <c r="N233" i="7" s="1"/>
  <c r="J355" i="19"/>
  <c r="K355" i="19" s="1"/>
  <c r="F149" i="19"/>
  <c r="G149" i="19" s="1"/>
  <c r="D20" i="9"/>
  <c r="E20" i="9" s="1"/>
  <c r="I352" i="19"/>
  <c r="I353" i="19" s="1"/>
  <c r="P6" i="11"/>
  <c r="G352" i="19"/>
  <c r="G353" i="19" s="1"/>
  <c r="N6" i="11"/>
  <c r="H352" i="19"/>
  <c r="H353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4" i="19"/>
  <c r="S103" i="9"/>
  <c r="L47" i="9"/>
  <c r="I246" i="19" s="1"/>
  <c r="I251" i="19" s="1"/>
  <c r="D22" i="9" l="1"/>
  <c r="E22" i="9" s="1"/>
  <c r="K77" i="9"/>
  <c r="G200" i="19"/>
  <c r="D19" i="17"/>
  <c r="G70" i="19"/>
  <c r="Q28" i="11"/>
  <c r="J18" i="17"/>
  <c r="G19" i="17"/>
  <c r="J70" i="19"/>
  <c r="Q43" i="11"/>
  <c r="J407" i="19" s="1"/>
  <c r="J369" i="19"/>
  <c r="E494" i="19"/>
  <c r="F482" i="19"/>
  <c r="V63" i="18"/>
  <c r="R57" i="18"/>
  <c r="K359" i="19"/>
  <c r="H300" i="19"/>
  <c r="L300" i="19" s="1"/>
  <c r="R15" i="11"/>
  <c r="R9" i="11" s="1"/>
  <c r="R10" i="11" s="1"/>
  <c r="R33" i="11"/>
  <c r="Q74" i="9"/>
  <c r="H77" i="9"/>
  <c r="M63" i="18"/>
  <c r="M64" i="18"/>
  <c r="O51" i="18"/>
  <c r="O52" i="18"/>
  <c r="K366" i="19"/>
  <c r="K373" i="19"/>
  <c r="Q5" i="11"/>
  <c r="J352" i="19" s="1"/>
  <c r="J357" i="19" s="1"/>
  <c r="Q12" i="11"/>
  <c r="R12" i="11"/>
  <c r="G74" i="9"/>
  <c r="K352" i="19"/>
  <c r="K357" i="19" s="1"/>
  <c r="K360" i="19" l="1"/>
  <c r="R16" i="11"/>
  <c r="E25" i="19" s="1"/>
  <c r="F495" i="19"/>
  <c r="G495" i="19" s="1"/>
  <c r="K376" i="19"/>
  <c r="L200" i="19"/>
  <c r="G71" i="19"/>
  <c r="R28" i="11"/>
  <c r="J19" i="17"/>
  <c r="I19" i="17"/>
  <c r="J71" i="19"/>
  <c r="R43" i="11"/>
  <c r="M71" i="9"/>
  <c r="M77" i="9" s="1"/>
  <c r="K369" i="19"/>
  <c r="F494" i="19"/>
  <c r="M65" i="18"/>
  <c r="K389" i="19"/>
  <c r="H71" i="19"/>
  <c r="R63" i="18"/>
  <c r="R58" i="18"/>
  <c r="G482" i="19"/>
  <c r="F487" i="19"/>
  <c r="G487" i="19" s="1"/>
  <c r="J411" i="19"/>
  <c r="E499" i="19"/>
  <c r="J71" i="9"/>
  <c r="W66" i="18"/>
  <c r="O53" i="18"/>
  <c r="O55" i="18" s="1"/>
  <c r="W63" i="18"/>
  <c r="W64" i="18" s="1"/>
  <c r="W67" i="18"/>
  <c r="V65" i="18"/>
  <c r="V64" i="18"/>
  <c r="J380" i="19"/>
  <c r="X63" i="18" l="1"/>
  <c r="X64" i="18" s="1"/>
  <c r="L71" i="19"/>
  <c r="Y84" i="18"/>
  <c r="Y85" i="18" s="1"/>
  <c r="R49" i="18"/>
  <c r="R51" i="18" s="1"/>
  <c r="S51" i="18" s="1"/>
  <c r="J77" i="9"/>
  <c r="G71" i="9"/>
  <c r="G77" i="9" s="1"/>
  <c r="G494" i="19"/>
  <c r="K407" i="19"/>
  <c r="K380" i="19"/>
  <c r="R52" i="11"/>
  <c r="R56" i="11" s="1"/>
  <c r="R60" i="11"/>
  <c r="R64" i="11" s="1"/>
  <c r="F497" i="19"/>
  <c r="K393" i="19"/>
  <c r="E496" i="19"/>
  <c r="F484" i="19"/>
  <c r="J384" i="19"/>
  <c r="V68" i="18"/>
  <c r="X68" i="18" s="1"/>
  <c r="V67" i="18"/>
  <c r="X67" i="18" s="1"/>
  <c r="V66" i="18"/>
  <c r="X66" i="18" s="1"/>
  <c r="R65" i="18"/>
  <c r="R66" i="18" s="1"/>
  <c r="R64" i="18"/>
  <c r="T63" i="18"/>
  <c r="T64" i="18" s="1"/>
  <c r="H346" i="19"/>
  <c r="E346" i="19"/>
  <c r="I94" i="19" l="1"/>
  <c r="J359" i="19"/>
  <c r="J360" i="19" s="1"/>
  <c r="K384" i="19"/>
  <c r="F496" i="19"/>
  <c r="K423" i="19"/>
  <c r="K427" i="19" s="1"/>
  <c r="Y67" i="18"/>
  <c r="X77" i="18"/>
  <c r="Y77" i="18" s="1"/>
  <c r="Z77" i="18" s="1"/>
  <c r="X75" i="18"/>
  <c r="Y75" i="18" s="1"/>
  <c r="Z75" i="18" s="1"/>
  <c r="X76" i="18"/>
  <c r="Y76" i="18" s="1"/>
  <c r="Z76" i="18" s="1"/>
  <c r="G484" i="19"/>
  <c r="Y66" i="18"/>
  <c r="X73" i="18"/>
  <c r="Y73" i="18" s="1"/>
  <c r="Z73" i="18" s="1"/>
  <c r="X74" i="18"/>
  <c r="Y74" i="18" s="1"/>
  <c r="Z74" i="18" s="1"/>
  <c r="X72" i="18"/>
  <c r="Y68" i="18"/>
  <c r="X78" i="18"/>
  <c r="Y78" i="18" s="1"/>
  <c r="Z78" i="18" s="1"/>
  <c r="X80" i="18"/>
  <c r="Y80" i="18" s="1"/>
  <c r="Z80" i="18" s="1"/>
  <c r="X79" i="18"/>
  <c r="Y79" i="18" s="1"/>
  <c r="Z79" i="18" s="1"/>
  <c r="H25" i="19"/>
  <c r="K411" i="19"/>
  <c r="F499" i="19"/>
  <c r="G499" i="19" s="1"/>
  <c r="O77" i="9"/>
  <c r="E220" i="19"/>
  <c r="K22" i="18"/>
  <c r="G94" i="19"/>
  <c r="G220" i="19" s="1"/>
  <c r="J94" i="19"/>
  <c r="F94" i="19"/>
  <c r="F220" i="19" s="1"/>
  <c r="K94" i="19"/>
  <c r="J80" i="9" l="1"/>
  <c r="J74" i="9" s="1"/>
  <c r="L80" i="9"/>
  <c r="N80" i="9"/>
  <c r="H80" i="9"/>
  <c r="K80" i="9"/>
  <c r="M80" i="9"/>
  <c r="F240" i="19"/>
  <c r="F246" i="19"/>
  <c r="G240" i="19"/>
  <c r="G246" i="19"/>
  <c r="E240" i="19"/>
  <c r="E246" i="19"/>
  <c r="E251" i="19" s="1"/>
  <c r="K116" i="19"/>
  <c r="K220" i="19"/>
  <c r="J116" i="19"/>
  <c r="J220" i="19"/>
  <c r="I116" i="19"/>
  <c r="I220" i="19"/>
  <c r="F346" i="19"/>
  <c r="I346" i="19" s="1"/>
  <c r="X81" i="18"/>
  <c r="Y72" i="18"/>
  <c r="H70" i="19"/>
  <c r="J389" i="19"/>
  <c r="Q60" i="11"/>
  <c r="Q64" i="11" s="1"/>
  <c r="Q52" i="11"/>
  <c r="I80" i="9"/>
  <c r="Y70" i="18"/>
  <c r="Y71" i="18" s="1"/>
  <c r="G496" i="19"/>
  <c r="F501" i="19"/>
  <c r="E24" i="19"/>
  <c r="J399" i="19"/>
  <c r="J403" i="19" s="1"/>
  <c r="F116" i="19"/>
  <c r="E116" i="19"/>
  <c r="G116" i="19"/>
  <c r="Q45" i="11"/>
  <c r="J409" i="19" s="1"/>
  <c r="G296" i="19" l="1"/>
  <c r="F251" i="19"/>
  <c r="F294" i="19" s="1"/>
  <c r="G251" i="19"/>
  <c r="G294" i="19" s="1"/>
  <c r="J296" i="19"/>
  <c r="M74" i="9"/>
  <c r="L74" i="9"/>
  <c r="I296" i="19"/>
  <c r="N74" i="9"/>
  <c r="K296" i="19"/>
  <c r="H296" i="19"/>
  <c r="K74" i="9"/>
  <c r="C18" i="18" s="1"/>
  <c r="L70" i="19"/>
  <c r="N49" i="19"/>
  <c r="H94" i="19"/>
  <c r="H220" i="19" s="1"/>
  <c r="I240" i="19"/>
  <c r="I294" i="19"/>
  <c r="K240" i="19"/>
  <c r="K246" i="19"/>
  <c r="J240" i="19"/>
  <c r="J246" i="19"/>
  <c r="E294" i="19"/>
  <c r="F25" i="19"/>
  <c r="G25" i="19" s="1"/>
  <c r="F24" i="19"/>
  <c r="G24" i="19" s="1"/>
  <c r="I74" i="9"/>
  <c r="F296" i="19"/>
  <c r="H24" i="19"/>
  <c r="Q56" i="11"/>
  <c r="Y81" i="18"/>
  <c r="Y86" i="18" s="1"/>
  <c r="Z72" i="18"/>
  <c r="H74" i="9"/>
  <c r="E296" i="19"/>
  <c r="O80" i="9"/>
  <c r="Q65" i="11"/>
  <c r="R65" i="11"/>
  <c r="G49" i="19"/>
  <c r="G95" i="19" s="1"/>
  <c r="G117" i="19" s="1"/>
  <c r="R29" i="11"/>
  <c r="B18" i="18"/>
  <c r="R30" i="11" s="1"/>
  <c r="J393" i="19"/>
  <c r="E497" i="19"/>
  <c r="F485" i="19"/>
  <c r="J423" i="19"/>
  <c r="J427" i="19" s="1"/>
  <c r="J413" i="19"/>
  <c r="J499" i="19"/>
  <c r="K487" i="19"/>
  <c r="L487" i="19" s="1"/>
  <c r="J374" i="19"/>
  <c r="J408" i="19"/>
  <c r="J412" i="19" s="1"/>
  <c r="J417" i="19"/>
  <c r="J390" i="19"/>
  <c r="J394" i="19" s="1"/>
  <c r="J381" i="19"/>
  <c r="J385" i="19" s="1"/>
  <c r="L48" i="19"/>
  <c r="R59" i="18"/>
  <c r="K23" i="18"/>
  <c r="Q35" i="11"/>
  <c r="Q30" i="11"/>
  <c r="J382" i="19" s="1"/>
  <c r="F17" i="18"/>
  <c r="Q53" i="11"/>
  <c r="Q57" i="11" s="1"/>
  <c r="G302" i="19" l="1"/>
  <c r="E347" i="19" s="1"/>
  <c r="K251" i="19"/>
  <c r="K294" i="19" s="1"/>
  <c r="K302" i="19" s="1"/>
  <c r="F302" i="19"/>
  <c r="J251" i="19"/>
  <c r="J294" i="19" s="1"/>
  <c r="J302" i="19" s="1"/>
  <c r="H347" i="19" s="1"/>
  <c r="H49" i="19"/>
  <c r="H95" i="19" s="1"/>
  <c r="H117" i="19" s="1"/>
  <c r="R34" i="11"/>
  <c r="K390" i="19" s="1"/>
  <c r="K394" i="19" s="1"/>
  <c r="R39" i="11"/>
  <c r="K399" i="19" s="1"/>
  <c r="K403" i="19" s="1"/>
  <c r="I49" i="19"/>
  <c r="I95" i="19" s="1"/>
  <c r="I117" i="19" s="1"/>
  <c r="I302" i="19"/>
  <c r="J49" i="19"/>
  <c r="J95" i="19" s="1"/>
  <c r="J117" i="19" s="1"/>
  <c r="E18" i="18"/>
  <c r="R45" i="11" s="1"/>
  <c r="K409" i="19" s="1"/>
  <c r="K499" i="19" s="1"/>
  <c r="L499" i="19" s="1"/>
  <c r="R44" i="11"/>
  <c r="K408" i="19" s="1"/>
  <c r="K412" i="19" s="1"/>
  <c r="R49" i="11"/>
  <c r="K417" i="19" s="1"/>
  <c r="K49" i="19"/>
  <c r="K95" i="19" s="1"/>
  <c r="K117" i="19" s="1"/>
  <c r="H240" i="19"/>
  <c r="J391" i="19"/>
  <c r="J395" i="19" s="1"/>
  <c r="E49" i="19"/>
  <c r="R21" i="11"/>
  <c r="O74" i="9"/>
  <c r="R74" i="9" s="1"/>
  <c r="S74" i="9" s="1"/>
  <c r="K382" i="19"/>
  <c r="I24" i="19"/>
  <c r="J24" i="19" s="1"/>
  <c r="I25" i="19"/>
  <c r="J25" i="19" s="1"/>
  <c r="G485" i="19"/>
  <c r="G489" i="19" s="1"/>
  <c r="F489" i="19"/>
  <c r="K381" i="19"/>
  <c r="K385" i="19" s="1"/>
  <c r="E501" i="19"/>
  <c r="G497" i="19"/>
  <c r="G501" i="19" s="1"/>
  <c r="E302" i="19"/>
  <c r="L296" i="19"/>
  <c r="R25" i="11"/>
  <c r="F49" i="19"/>
  <c r="F95" i="19" s="1"/>
  <c r="F117" i="19" s="1"/>
  <c r="H500" i="19"/>
  <c r="I488" i="19"/>
  <c r="L488" i="19" s="1"/>
  <c r="J420" i="19"/>
  <c r="I483" i="19"/>
  <c r="L483" i="19" s="1"/>
  <c r="H495" i="19"/>
  <c r="J377" i="19"/>
  <c r="H494" i="19"/>
  <c r="I482" i="19"/>
  <c r="J424" i="19"/>
  <c r="J428" i="19" s="1"/>
  <c r="J370" i="19"/>
  <c r="K484" i="19"/>
  <c r="J496" i="19"/>
  <c r="J386" i="19"/>
  <c r="H116" i="19"/>
  <c r="Q54" i="11"/>
  <c r="Q58" i="11" s="1"/>
  <c r="K413" i="19" l="1"/>
  <c r="R35" i="11"/>
  <c r="X34" i="18"/>
  <c r="X35" i="18" s="1"/>
  <c r="F18" i="18"/>
  <c r="I500" i="19"/>
  <c r="L500" i="19" s="1"/>
  <c r="K420" i="19"/>
  <c r="H294" i="19"/>
  <c r="L251" i="19"/>
  <c r="J425" i="19"/>
  <c r="J429" i="19" s="1"/>
  <c r="K485" i="19"/>
  <c r="L485" i="19" s="1"/>
  <c r="J497" i="19"/>
  <c r="J501" i="19" s="1"/>
  <c r="K374" i="19"/>
  <c r="E95" i="19"/>
  <c r="E117" i="19" s="1"/>
  <c r="L49" i="19"/>
  <c r="K496" i="19"/>
  <c r="L496" i="19" s="1"/>
  <c r="K386" i="19"/>
  <c r="K367" i="19"/>
  <c r="R53" i="11"/>
  <c r="L482" i="19"/>
  <c r="I489" i="19"/>
  <c r="H501" i="19" s="1"/>
  <c r="L484" i="19"/>
  <c r="R54" i="11" l="1"/>
  <c r="R58" i="11" s="1"/>
  <c r="K391" i="19"/>
  <c r="H302" i="19"/>
  <c r="F347" i="19" s="1"/>
  <c r="I347" i="19" s="1"/>
  <c r="L294" i="19"/>
  <c r="L302" i="19" s="1"/>
  <c r="K489" i="19"/>
  <c r="K370" i="19"/>
  <c r="I494" i="19"/>
  <c r="K424" i="19"/>
  <c r="K428" i="19" s="1"/>
  <c r="I495" i="19"/>
  <c r="L495" i="19" s="1"/>
  <c r="K377" i="19"/>
  <c r="R57" i="11"/>
  <c r="K395" i="19" l="1"/>
  <c r="K497" i="19"/>
  <c r="K425" i="19"/>
  <c r="K429" i="19" s="1"/>
  <c r="I501" i="19"/>
  <c r="L494" i="19"/>
  <c r="L497" i="19" l="1"/>
  <c r="K501" i="19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47" authorId="1">
      <text>
        <r>
          <rPr>
            <sz val="9"/>
            <color indexed="81"/>
            <rFont val="Tahoma"/>
            <family val="2"/>
          </rPr>
          <t xml:space="preserve">Not Used
</t>
        </r>
      </text>
    </comment>
    <comment ref="K85" authorId="1">
      <text>
        <r>
          <rPr>
            <sz val="9"/>
            <color indexed="81"/>
            <rFont val="Tahoma"/>
            <family val="2"/>
          </rPr>
          <t>Usage for customer from 
Application load forecast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<sst xmlns="http://schemas.openxmlformats.org/spreadsheetml/2006/main" count="560" uniqueCount="334">
  <si>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</si>
  <si>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</si>
  <si>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</si>
  <si>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</si>
  <si>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</si>
  <si>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</si>
  <si>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</si>
  <si>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</si>
  <si>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</si>
  <si>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</si>
  <si>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</si>
  <si>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</si>
  <si>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</si>
  <si>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</si>
  <si>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</si>
  <si>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</si>
  <si>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</si>
  <si>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</si>
  <si>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</si>
  <si>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</si>
  <si>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</si>
  <si>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</si>
  <si>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</si>
  <si>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</si>
  <si>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</si>
  <si>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</si>
  <si>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</si>
  <si>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</si>
  <si>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</si>
  <si>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</si>
  <si>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</si>
  <si>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</si>
  <si>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</si>
  <si>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</si>
  <si>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</si>
  <si>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</si>
  <si>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</si>
  <si>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</si>
  <si>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</si>
  <si>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</si>
  <si>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</si>
  <si>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</si>
  <si>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</si>
  <si>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</si>
  <si>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</si>
  <si>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</si>
  <si>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</si>
  <si>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</si>
  <si>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</si>
  <si>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</si>
  <si>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</si>
  <si>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</si>
  <si>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</si>
  <si>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</si>
  <si>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</si>
  <si>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</si>
  <si>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</si>
  <si>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</si>
  <si>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</si>
  <si>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</si>
  <si>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</si>
  <si>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</si>
  <si>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</si>
  <si>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</si>
  <si>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</si>
  <si>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</si>
  <si>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</si>
  <si>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</si>
  <si>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</si>
  <si>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</si>
  <si>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</si>
  <si>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</si>
  <si>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</si>
  <si>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</si>
  <si>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</si>
  <si>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</si>
  <si>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</si>
  <si>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</si>
  <si>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</si>
  <si>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</si>
  <si>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</si>
  <si>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</si>
  <si>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</si>
  <si>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</si>
  <si>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</si>
  <si>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</si>
  <si>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</si>
  <si>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</si>
  <si>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</si>
  <si>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</si>
  <si>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</si>
  <si>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</si>
  <si>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</si>
  <si>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</si>
  <si>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</si>
  <si>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</si>
  <si>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</si>
  <si>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</si>
  <si>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</si>
  <si>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</si>
  <si>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</si>
  <si>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</si>
  <si>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</si>
  <si>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</si>
  <si>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</si>
  <si>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</si>
  <si>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</si>
  <si>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</si>
  <si>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</si>
  <si>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</si>
  <si>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</si>
  <si>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</si>
  <si>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</si>
  <si>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</si>
  <si>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</si>
  <si>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</si>
  <si>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</si>
  <si>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</si>
  <si>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</si>
  <si>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</si>
  <si>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</si>
  <si>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</si>
  <si>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</si>
  <si>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</si>
  <si>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</si>
  <si>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</si>
  <si>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</si>
  <si>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</si>
  <si>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</si>
  <si>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</si>
  <si>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</si>
  <si>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</si>
  <si>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</si>
  <si>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</si>
  <si>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</si>
  <si>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</si>
  <si>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</si>
  <si>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</si>
  <si>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</si>
  <si>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</si>
  <si>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</si>
  <si>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</si>
  <si>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</si>
  <si>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</si>
  <si>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</si>
  <si>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</si>
  <si>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</si>
  <si>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</si>
  <si>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</si>
  <si>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</si>
  <si>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</si>
  <si>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</si>
  <si>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</si>
  <si>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</si>
  <si>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</si>
  <si>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</si>
  <si>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</si>
  <si>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</si>
  <si>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</si>
  <si>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</si>
  <si>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</si>
  <si>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</si>
  <si>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</si>
  <si>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</si>
  <si>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</si>
  <si>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</si>
  <si>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</si>
  <si>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</si>
  <si>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</si>
  <si>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</si>
  <si>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</si>
  <si>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</si>
  <si>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</si>
  <si>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</si>
  <si>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</si>
  <si>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</si>
  <si>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</si>
  <si>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</si>
  <si>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</si>
  <si>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2015</t>
  </si>
  <si>
    <t>2013 Actual</t>
  </si>
  <si>
    <t>20 year trend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</si>
  <si>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</si>
  <si>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</si>
  <si>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</si>
  <si>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</si>
  <si>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</si>
  <si>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</si>
  <si>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 Economy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</si>
  <si>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</si>
  <si>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</si>
  <si>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</si>
  <si>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</si>
  <si>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</si>
  <si>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</si>
  <si>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</si>
  <si>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</si>
  <si>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</si>
  <si>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</si>
  <si>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</si>
  <si>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</si>
  <si>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</si>
  <si>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</si>
  <si>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</si>
  <si>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</si>
  <si>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</si>
  <si>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</si>
  <si>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</si>
  <si>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</si>
  <si>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</si>
  <si>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</si>
  <si>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</si>
  <si>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</si>
  <si>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</si>
  <si>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</si>
  <si>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</si>
  <si>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</si>
  <si>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</si>
  <si>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</si>
  <si>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</si>
  <si>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</si>
  <si>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</si>
  <si>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</si>
  <si>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</si>
  <si>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</si>
  <si>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</si>
  <si>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</si>
  <si>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</si>
  <si>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</si>
  <si>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</si>
  <si>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</si>
  <si>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</si>
  <si>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</si>
  <si>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</si>
  <si>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</si>
  <si>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</si>
  <si>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</si>
  <si>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</si>
  <si>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</si>
  <si>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</si>
  <si>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</si>
  <si>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</si>
  <si>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</si>
  <si>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</si>
  <si>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</si>
  <si>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</si>
  <si>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</si>
  <si>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</si>
  <si>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</si>
  <si>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</si>
  <si>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</si>
  <si>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</si>
  <si>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</si>
  <si>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</si>
  <si>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</si>
  <si>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</si>
  <si>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</si>
  <si>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</si>
  <si>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</si>
  <si>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</si>
  <si>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</si>
  <si>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</si>
  <si>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</si>
  <si>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</si>
  <si>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</si>
  <si>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</si>
  <si>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</si>
  <si>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</si>
  <si>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</si>
  <si>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</si>
  <si>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</si>
  <si>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</si>
  <si>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</si>
  <si>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</si>
  <si>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</si>
  <si>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</si>
  <si>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</si>
  <si>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</si>
  <si>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</si>
  <si>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</si>
  <si>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</si>
  <si>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</si>
  <si>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</si>
  <si>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</si>
  <si>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</si>
  <si>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</si>
  <si>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</si>
  <si>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</si>
  <si>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</si>
  <si>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</si>
  <si>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</si>
  <si>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</si>
  <si>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</si>
  <si>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</si>
  <si>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</si>
  <si>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</si>
  <si>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</si>
  <si>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</si>
  <si>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</si>
  <si>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</si>
  <si>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</si>
  <si>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</si>
  <si>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</si>
  <si>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</si>
  <si>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</si>
  <si>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</si>
  <si>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</si>
  <si>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</si>
  <si>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</si>
  <si>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</si>
  <si>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</si>
  <si>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</si>
  <si>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</si>
  <si>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</si>
  <si>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</si>
  <si>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</si>
  <si>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</si>
  <si>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</si>
  <si>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</si>
  <si>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</si>
  <si>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</si>
  <si>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</si>
  <si>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</si>
  <si>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</si>
  <si>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</si>
  <si>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</si>
  <si>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</si>
  <si>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</si>
  <si>
    <t>average is 2012 - 2014 - 3 year average</t>
  </si>
  <si>
    <t>Geo Mean - 2012 to 2014</t>
  </si>
  <si>
    <t>Using 3 years</t>
  </si>
  <si>
    <t>2014 Actual</t>
  </si>
  <si>
    <t>Blackout Flag</t>
  </si>
  <si>
    <t xml:space="preserve">Northeastern Employment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</si>
</sst>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%;\(0.0%\)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_(* #,##0.000000_);_(* \(#,##0.000000\);_(* &quot;-&quot;??_);_(@_)"/>
    <numFmt numFmtId="175" formatCode="#,##0.0;\(#,##0.0\)"/>
    <numFmt numFmtId="176" formatCode="0.0000%;\(0.0%\)"/>
    <numFmt numFmtId="177" formatCode="0.0;\(0.0\)"/>
    <numFmt numFmtId="178" formatCode="&quot;£ &quot;#,##0.00;[Red]\-&quot;£ &quot;#,##0.00"/>
    <numFmt numFmtId="179" formatCode="##\-#"/>
    <numFmt numFmtId="180" formatCode="mm/dd/yyyy"/>
    <numFmt numFmtId="181" formatCode="0\-0"/>
    <numFmt numFmtId="182" formatCode="0.00%;\(0.00%\)"/>
    <numFmt numFmtId="183" formatCode="0;\(0\)"/>
    <numFmt numFmtId="184" formatCode="#,##0_ ;\-#,##0\ "/>
    <numFmt numFmtId="185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1" fontId="2" fillId="0" borderId="0"/>
    <xf numFmtId="173" fontId="2" fillId="0" borderId="0"/>
    <xf numFmtId="180" fontId="2" fillId="0" borderId="0"/>
    <xf numFmtId="181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79" fontId="2" fillId="0" borderId="0"/>
    <xf numFmtId="172" fontId="2" fillId="0" borderId="0"/>
    <xf numFmtId="0" fontId="22" fillId="24" borderId="0" applyNumberFormat="0" applyBorder="0" applyAlignment="0" applyProtection="0"/>
    <xf numFmtId="178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/>
    <xf numFmtId="171" fontId="2" fillId="0" borderId="0"/>
    <xf numFmtId="171" fontId="2" fillId="0" borderId="0"/>
    <xf numFmtId="171" fontId="2" fillId="0" borderId="0"/>
    <xf numFmtId="180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43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43" fontId="0" fillId="0" borderId="0" xfId="32" applyFont="1" applyAlignment="1">
      <alignment horizontal="center"/>
    </xf>
    <xf numFmtId="172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69" fontId="0" fillId="0" borderId="0" xfId="0" applyNumberFormat="1" applyFill="1" applyAlignment="1">
      <alignment horizontal="center"/>
    </xf>
    <xf numFmtId="43" fontId="0" fillId="0" borderId="0" xfId="32" applyFont="1"/>
    <xf numFmtId="172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4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5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3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5" fontId="30" fillId="0" borderId="0" xfId="0" applyNumberFormat="1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4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5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41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3" fontId="30" fillId="0" borderId="6" xfId="52" applyNumberFormat="1" applyFont="1" applyFill="1" applyBorder="1" applyAlignment="1">
      <alignment horizontal="center" vertical="center"/>
    </xf>
    <xf numFmtId="175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41" fontId="30" fillId="0" borderId="0" xfId="52" applyNumberFormat="1" applyFont="1" applyFill="1" applyBorder="1" applyAlignment="1">
      <alignment vertical="center"/>
    </xf>
    <xf numFmtId="165" fontId="30" fillId="0" borderId="16" xfId="52" applyNumberFormat="1" applyFont="1" applyFill="1" applyBorder="1" applyAlignment="1">
      <alignment horizontal="center" vertical="center"/>
    </xf>
    <xf numFmtId="173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77" fontId="30" fillId="0" borderId="6" xfId="52" applyNumberFormat="1" applyFont="1" applyFill="1" applyBorder="1" applyAlignment="1">
      <alignment horizontal="center" vertical="center"/>
    </xf>
    <xf numFmtId="166" fontId="30" fillId="0" borderId="16" xfId="52" applyNumberFormat="1" applyFont="1" applyFill="1" applyBorder="1" applyAlignment="1">
      <alignment horizontal="center" vertical="center"/>
    </xf>
    <xf numFmtId="166" fontId="31" fillId="0" borderId="16" xfId="52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77" fontId="30" fillId="0" borderId="6" xfId="0" applyNumberFormat="1" applyFont="1" applyFill="1" applyBorder="1" applyAlignment="1">
      <alignment horizontal="center" vertical="center"/>
    </xf>
    <xf numFmtId="173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4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66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76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2" fontId="0" fillId="0" borderId="0" xfId="32" applyNumberFormat="1" applyFont="1" applyFill="1"/>
    <xf numFmtId="172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0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4" fontId="0" fillId="0" borderId="0" xfId="32" applyNumberFormat="1" applyFont="1"/>
    <xf numFmtId="174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2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2" fontId="0" fillId="0" borderId="0" xfId="32" applyNumberFormat="1" applyFont="1"/>
    <xf numFmtId="172" fontId="0" fillId="0" borderId="0" xfId="0" applyNumberFormat="1"/>
    <xf numFmtId="169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2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0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2" fontId="0" fillId="0" borderId="19" xfId="32" applyNumberFormat="1" applyFont="1" applyBorder="1"/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3" fillId="0" borderId="0" xfId="32" applyNumberFormat="1" applyFont="1" applyFill="1"/>
    <xf numFmtId="172" fontId="2" fillId="0" borderId="0" xfId="32" applyNumberFormat="1" applyFont="1" applyFill="1"/>
    <xf numFmtId="43" fontId="0" fillId="0" borderId="19" xfId="32" applyFont="1" applyBorder="1"/>
    <xf numFmtId="0" fontId="48" fillId="0" borderId="0" xfId="0" applyFont="1" applyAlignment="1">
      <alignment horizontal="left"/>
    </xf>
    <xf numFmtId="164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2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2" fontId="0" fillId="0" borderId="19" xfId="32" applyNumberFormat="1" applyFont="1" applyFill="1" applyBorder="1"/>
    <xf numFmtId="172" fontId="5" fillId="0" borderId="24" xfId="32" applyNumberFormat="1" applyFont="1" applyFill="1" applyBorder="1"/>
    <xf numFmtId="172" fontId="49" fillId="33" borderId="0" xfId="32" applyNumberFormat="1" applyFont="1" applyFill="1"/>
    <xf numFmtId="172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2" fontId="3" fillId="0" borderId="0" xfId="32" applyNumberFormat="1" applyFont="1" applyFill="1" applyAlignment="1">
      <alignment horizontal="right"/>
    </xf>
    <xf numFmtId="170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2" fontId="5" fillId="0" borderId="0" xfId="0" applyNumberFormat="1" applyFont="1"/>
    <xf numFmtId="172" fontId="0" fillId="0" borderId="19" xfId="0" applyNumberFormat="1" applyBorder="1"/>
    <xf numFmtId="0" fontId="3" fillId="0" borderId="0" xfId="0" applyFon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2" fontId="3" fillId="0" borderId="0" xfId="0" applyNumberFormat="1" applyFont="1" applyAlignment="1">
      <alignment horizontal="center"/>
    </xf>
    <xf numFmtId="43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2" fontId="0" fillId="0" borderId="0" xfId="32" applyNumberFormat="1" applyFont="1" applyFill="1" applyBorder="1" applyAlignment="1"/>
    <xf numFmtId="172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68" fontId="30" fillId="0" borderId="0" xfId="0" applyNumberFormat="1" applyFont="1" applyFill="1" applyAlignment="1">
      <alignment vertical="center"/>
    </xf>
    <xf numFmtId="182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4" fontId="2" fillId="0" borderId="0" xfId="56" applyNumberFormat="1" applyFont="1" applyFill="1" applyAlignment="1">
      <alignment horizontal="center"/>
    </xf>
    <xf numFmtId="173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77" fontId="30" fillId="0" borderId="17" xfId="0" applyNumberFormat="1" applyFont="1" applyFill="1" applyBorder="1" applyAlignment="1">
      <alignment horizontal="center" vertical="center" wrapText="1"/>
    </xf>
    <xf numFmtId="175" fontId="30" fillId="0" borderId="17" xfId="0" applyNumberFormat="1" applyFont="1" applyFill="1" applyBorder="1" applyAlignment="1">
      <alignment horizontal="center" vertical="center" wrapText="1"/>
    </xf>
    <xf numFmtId="176" fontId="30" fillId="0" borderId="6" xfId="0" applyNumberFormat="1" applyFont="1" applyFill="1" applyBorder="1" applyAlignment="1">
      <alignment horizontal="center" vertical="center" wrapText="1"/>
    </xf>
    <xf numFmtId="168" fontId="30" fillId="0" borderId="6" xfId="0" applyNumberFormat="1" applyFont="1" applyFill="1" applyBorder="1" applyAlignment="1">
      <alignment horizontal="center" vertical="center"/>
    </xf>
    <xf numFmtId="182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3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67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4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4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4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2" fontId="45" fillId="0" borderId="0" xfId="32" applyNumberFormat="1" applyFont="1" applyFill="1" applyBorder="1" applyAlignment="1">
      <alignment horizontal="center"/>
    </xf>
    <xf numFmtId="172" fontId="0" fillId="0" borderId="0" xfId="32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3" fontId="2" fillId="31" borderId="16" xfId="0" applyNumberFormat="1" applyFont="1" applyFill="1" applyBorder="1" applyAlignment="1">
      <alignment horizontal="center"/>
    </xf>
    <xf numFmtId="185" fontId="30" fillId="0" borderId="17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7" fontId="30" fillId="0" borderId="6" xfId="52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164" fontId="0" fillId="0" borderId="0" xfId="56" applyNumberFormat="1" applyFont="1" applyFill="1" applyBorder="1" applyAlignment="1"/>
    <xf numFmtId="171" fontId="0" fillId="0" borderId="0" xfId="32" applyNumberFormat="1" applyFont="1" applyFill="1" applyBorder="1" applyAlignment="1"/>
    <xf numFmtId="171" fontId="0" fillId="0" borderId="12" xfId="32" applyNumberFormat="1" applyFont="1" applyFill="1" applyBorder="1" applyAlignment="1"/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6" xfId="0" applyFont="1" applyFill="1" applyBorder="1" applyAlignment="1">
      <alignment horizontal="center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182" fontId="30" fillId="0" borderId="14" xfId="0" applyNumberFormat="1" applyFont="1" applyFill="1" applyBorder="1" applyAlignment="1">
      <alignment horizontal="left" vertical="center" wrapText="1"/>
    </xf>
    <xf numFmtId="182" fontId="30" fillId="0" borderId="15" xfId="0" applyNumberFormat="1" applyFont="1" applyFill="1" applyBorder="1" applyAlignment="1">
      <alignment horizontal="left" vertical="center" wrapText="1"/>
    </xf>
    <xf numFmtId="182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67" fillId="65" borderId="6" xfId="132" applyFont="1" applyFill="1" applyBorder="1" applyAlignment="1">
      <alignment horizontal="center"/>
    </xf>
    <xf numFmtId="184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586.9857282179629</c:v>
                </c:pt>
                <c:pt idx="1">
                  <c:v>589.37585457640068</c:v>
                </c:pt>
                <c:pt idx="2">
                  <c:v>586.62592916793199</c:v>
                </c:pt>
                <c:pt idx="3">
                  <c:v>598.00623751023875</c:v>
                </c:pt>
                <c:pt idx="4">
                  <c:v>594.8075715140584</c:v>
                </c:pt>
                <c:pt idx="5">
                  <c:v>598.11441414720605</c:v>
                </c:pt>
                <c:pt idx="6">
                  <c:v>602.3262942568324</c:v>
                </c:pt>
                <c:pt idx="7">
                  <c:v>585.66367963589357</c:v>
                </c:pt>
                <c:pt idx="8">
                  <c:v>599.9307784031547</c:v>
                </c:pt>
                <c:pt idx="9">
                  <c:v>595.33214699348594</c:v>
                </c:pt>
                <c:pt idx="10">
                  <c:v>590.09915650196899</c:v>
                </c:pt>
                <c:pt idx="11">
                  <c:v>586.2987360369815</c:v>
                </c:pt>
                <c:pt idx="12">
                  <c:v>593.88012245326922</c:v>
                </c:pt>
                <c:pt idx="13">
                  <c:v>561.74531885782051</c:v>
                </c:pt>
                <c:pt idx="14">
                  <c:v>571.75414449538948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37312"/>
        <c:axId val="279439616"/>
      </c:barChart>
      <c:catAx>
        <c:axId val="2794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943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4396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9437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North%20Bay\2015%20Rates\Interrogatories\Interrogatory%20Models\CDM%20Impact%20on%20Load%20Forecast%20by%20Class_September%208,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North%20Bay\2015%20Rates\Interrogatories\Interrogatory%20Models\eng-daily-01012014-1231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o-Final in Load Forecast"/>
      <sheetName val="100 Percent Savings Scenerio"/>
      <sheetName val="50 Percent Savings Scenerio"/>
    </sheetNames>
    <sheetDataSet>
      <sheetData sheetId="0">
        <row r="6">
          <cell r="B6">
            <v>2630000</v>
          </cell>
          <cell r="C6">
            <v>2334000</v>
          </cell>
          <cell r="D6">
            <v>2330000</v>
          </cell>
          <cell r="E6">
            <v>2220000</v>
          </cell>
          <cell r="F6">
            <v>2220000</v>
          </cell>
        </row>
        <row r="7">
          <cell r="C7">
            <v>2761536</v>
          </cell>
          <cell r="D7">
            <v>2490000</v>
          </cell>
          <cell r="E7">
            <v>2430000</v>
          </cell>
          <cell r="F7">
            <v>2430000</v>
          </cell>
        </row>
        <row r="8">
          <cell r="D8">
            <v>3049000</v>
          </cell>
          <cell r="E8">
            <v>3049000</v>
          </cell>
          <cell r="F8">
            <v>3049000</v>
          </cell>
        </row>
        <row r="9">
          <cell r="E9">
            <v>6121536</v>
          </cell>
          <cell r="F9">
            <v>6121536</v>
          </cell>
        </row>
        <row r="10">
          <cell r="F10">
            <v>14353536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 (2)"/>
    </sheetNames>
    <sheetDataSet>
      <sheetData sheetId="0">
        <row r="56">
          <cell r="M56">
            <v>1024.8</v>
          </cell>
          <cell r="P56">
            <v>0</v>
          </cell>
        </row>
        <row r="85">
          <cell r="M85">
            <v>883.40000000000009</v>
          </cell>
          <cell r="P85">
            <v>0</v>
          </cell>
        </row>
        <row r="116">
          <cell r="M116">
            <v>879.69999999999982</v>
          </cell>
          <cell r="P116">
            <v>0</v>
          </cell>
        </row>
        <row r="146">
          <cell r="M146">
            <v>482.99999999999994</v>
          </cell>
          <cell r="P146">
            <v>0</v>
          </cell>
        </row>
        <row r="177">
          <cell r="M177">
            <v>199.79999999999998</v>
          </cell>
          <cell r="P177">
            <v>1.3</v>
          </cell>
        </row>
        <row r="207">
          <cell r="M207">
            <v>53.399999999999991</v>
          </cell>
          <cell r="P207">
            <v>24.1</v>
          </cell>
        </row>
        <row r="238">
          <cell r="M238">
            <v>57.800000000000004</v>
          </cell>
          <cell r="P238">
            <v>17.900000000000002</v>
          </cell>
        </row>
        <row r="269">
          <cell r="M269">
            <v>60</v>
          </cell>
          <cell r="P269">
            <v>16.399999999999999</v>
          </cell>
        </row>
        <row r="299">
          <cell r="M299">
            <v>157</v>
          </cell>
          <cell r="P299">
            <v>4.5999999999999996</v>
          </cell>
        </row>
        <row r="330">
          <cell r="M330">
            <v>341.59999999999997</v>
          </cell>
          <cell r="P330">
            <v>0</v>
          </cell>
        </row>
        <row r="360">
          <cell r="M360">
            <v>642.99999999999989</v>
          </cell>
          <cell r="P360">
            <v>0</v>
          </cell>
        </row>
        <row r="391">
          <cell r="M391">
            <v>710.49999999999989</v>
          </cell>
          <cell r="P3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1"/>
  <sheetViews>
    <sheetView showGridLines="0" topLeftCell="A287" zoomScaleNormal="100" workbookViewId="0">
      <selection activeCell="B292" sqref="B292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263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0" t="s">
        <v>85</v>
      </c>
      <c r="C4" s="361"/>
      <c r="D4" s="361"/>
      <c r="E4" s="362" t="s">
        <v>86</v>
      </c>
      <c r="F4" s="362" t="s">
        <v>87</v>
      </c>
      <c r="G4" s="362" t="s">
        <v>88</v>
      </c>
      <c r="H4" s="362" t="s">
        <v>89</v>
      </c>
      <c r="I4" s="362" t="s">
        <v>90</v>
      </c>
      <c r="J4" s="362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250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407" t="s">
        <v>93</v>
      </c>
      <c r="C18" s="408"/>
      <c r="D18" s="409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407" t="s">
        <v>251</v>
      </c>
      <c r="C19" s="408"/>
      <c r="D19" s="409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407" t="s">
        <v>252</v>
      </c>
      <c r="C20" s="408"/>
      <c r="D20" s="409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407" t="s">
        <v>253</v>
      </c>
      <c r="C21" s="408"/>
      <c r="D21" s="409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407" t="s">
        <v>254</v>
      </c>
      <c r="C22" s="408"/>
      <c r="D22" s="409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407" t="s">
        <v>255</v>
      </c>
      <c r="C23" s="408"/>
      <c r="D23" s="409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407" t="s">
        <v>260</v>
      </c>
      <c r="C24" s="408"/>
      <c r="D24" s="409"/>
      <c r="E24" s="95">
        <f>Summary!Q16/1000000</f>
        <v>0</v>
      </c>
      <c r="F24" s="113">
        <f t="shared" si="0"/>
        <v>-548.19676239000069</v>
      </c>
      <c r="G24" s="97">
        <f t="shared" si="1"/>
        <v>-1</v>
      </c>
      <c r="H24" s="73">
        <f>Summary!Q52</f>
        <v>29885</v>
      </c>
      <c r="I24" s="113">
        <f t="shared" si="2"/>
        <v>-145</v>
      </c>
      <c r="J24" s="97">
        <f t="shared" si="3"/>
        <v>-4.8285048285048289E-3</v>
      </c>
      <c r="M24"/>
      <c r="N24"/>
    </row>
    <row r="25" spans="2:15" ht="12.75" x14ac:dyDescent="0.2">
      <c r="B25" s="407" t="s">
        <v>261</v>
      </c>
      <c r="C25" s="408"/>
      <c r="D25" s="409"/>
      <c r="E25" s="95">
        <f>Summary!R16/1000000</f>
        <v>520.73879816242243</v>
      </c>
      <c r="F25" s="113">
        <f t="shared" si="0"/>
        <v>520.73879816242243</v>
      </c>
      <c r="G25" s="97" t="e">
        <f t="shared" si="1"/>
        <v>#DIV/0!</v>
      </c>
      <c r="H25" s="73">
        <f>Summary!R52</f>
        <v>29878</v>
      </c>
      <c r="I25" s="113">
        <f t="shared" si="2"/>
        <v>-7</v>
      </c>
      <c r="J25" s="97">
        <f t="shared" si="3"/>
        <v>-2.3423121967542247E-4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264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0" t="s">
        <v>85</v>
      </c>
      <c r="C28" s="361"/>
      <c r="D28" s="361"/>
      <c r="E28" s="363" t="str">
        <f>Summary!A19</f>
        <v xml:space="preserve">Residential </v>
      </c>
      <c r="F28" s="363" t="str">
        <f>Summary!A23</f>
        <v>General Service &lt; 50 kW</v>
      </c>
      <c r="G28" s="363" t="str">
        <f>Summary!A27</f>
        <v>General Service 50 to 2999 kW</v>
      </c>
      <c r="H28" s="363" t="str">
        <f>Summary!A32</f>
        <v>General Service 3000 to 4999 kW</v>
      </c>
      <c r="I28" s="363" t="str">
        <f>Summary!A37</f>
        <v>Street Lighting</v>
      </c>
      <c r="J28" s="363" t="str">
        <f>Summary!A42</f>
        <v>Sentinel Lighting</v>
      </c>
      <c r="K28" s="363" t="str">
        <f>Summary!A47</f>
        <v xml:space="preserve">Unmetered Scattered Load </v>
      </c>
      <c r="L28" s="363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2" t="str">
        <f t="shared" si="4"/>
        <v xml:space="preserve">2009 Actual </v>
      </c>
      <c r="C43" s="303"/>
      <c r="D43" s="303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2" t="str">
        <f t="shared" si="4"/>
        <v xml:space="preserve">2010 Actual </v>
      </c>
      <c r="C44" s="303"/>
      <c r="D44" s="303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2" t="str">
        <f t="shared" si="4"/>
        <v xml:space="preserve">2011 Actual </v>
      </c>
      <c r="C45" s="303"/>
      <c r="D45" s="303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2" t="str">
        <f t="shared" si="4"/>
        <v xml:space="preserve">2012 Actual </v>
      </c>
      <c r="C46" s="303"/>
      <c r="D46" s="303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2" t="str">
        <f t="shared" si="4"/>
        <v xml:space="preserve">2013 Actual </v>
      </c>
      <c r="C47" s="303"/>
      <c r="D47" s="303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407" t="str">
        <f t="shared" si="4"/>
        <v>2014 Bridge - Normalized</v>
      </c>
      <c r="C48" s="408"/>
      <c r="D48" s="409"/>
      <c r="E48" s="91">
        <f>'Rate Class Energy Model'!H22/1000000</f>
        <v>205.95007975000036</v>
      </c>
      <c r="F48" s="91">
        <f>'Rate Class Energy Model'!I22/1000000</f>
        <v>85.369054680000914</v>
      </c>
      <c r="G48" s="91">
        <f>'Rate Class Energy Model'!J22/1000000</f>
        <v>217.23618744000001</v>
      </c>
      <c r="H48" s="91">
        <f>'Rate Class Energy Model'!K22/1000000</f>
        <v>26.926555820000004</v>
      </c>
      <c r="I48" s="91">
        <f>'Rate Class Energy Model'!L22/1000000</f>
        <v>2.0265658900000001</v>
      </c>
      <c r="J48" s="91">
        <f>'Rate Class Energy Model'!M22/1000000</f>
        <v>0.42399264000000048</v>
      </c>
      <c r="K48" s="91">
        <f>'Rate Class Energy Model'!N22/1000000</f>
        <v>5.0609549999999989E-2</v>
      </c>
      <c r="L48" s="101">
        <f t="shared" si="5"/>
        <v>537.98304577000135</v>
      </c>
      <c r="M48" s="84"/>
      <c r="N48" s="114">
        <f>H48*1000000</f>
        <v>26926555.820000004</v>
      </c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407" t="str">
        <f t="shared" si="4"/>
        <v>2015 Test - Normalized</v>
      </c>
      <c r="C49" s="408"/>
      <c r="D49" s="409"/>
      <c r="E49" s="91">
        <f>'Rate Class Energy Model'!H74/1000000</f>
        <v>206.91958643430306</v>
      </c>
      <c r="F49" s="91">
        <f>'Rate Class Energy Model'!I74/1000000</f>
        <v>85.952587088123593</v>
      </c>
      <c r="G49" s="91">
        <f>'Rate Class Energy Model'!J74/1000000</f>
        <v>208.15504804770922</v>
      </c>
      <c r="H49" s="91">
        <f>'Rate Class Energy Model'!K74/1000000</f>
        <v>17.254810307607244</v>
      </c>
      <c r="I49" s="91">
        <f>'Rate Class Energy Model'!L74/1000000</f>
        <v>2.0187623305114082</v>
      </c>
      <c r="J49" s="91">
        <f>'Rate Class Energy Model'!M74/1000000</f>
        <v>0.40595929373617273</v>
      </c>
      <c r="K49" s="91">
        <f>'Rate Class Energy Model'!N74/1000000</f>
        <v>3.2044660431652099E-2</v>
      </c>
      <c r="L49" s="101">
        <f t="shared" si="5"/>
        <v>520.73879816242231</v>
      </c>
      <c r="M49" s="84"/>
      <c r="N49" s="114">
        <f>N48/H70</f>
        <v>13463277.910000002</v>
      </c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2" t="str">
        <f t="shared" ref="B65:B71" si="8">B43</f>
        <v xml:space="preserve">2009 Actual </v>
      </c>
      <c r="C65" s="303"/>
      <c r="D65" s="303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2" t="str">
        <f t="shared" si="8"/>
        <v xml:space="preserve">2010 Actual </v>
      </c>
      <c r="C66" s="303"/>
      <c r="D66" s="303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2" t="str">
        <f t="shared" si="8"/>
        <v xml:space="preserve">2011 Actual </v>
      </c>
      <c r="C67" s="303"/>
      <c r="D67" s="303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2" t="str">
        <f t="shared" si="8"/>
        <v xml:space="preserve">2012 Actual </v>
      </c>
      <c r="C68" s="303"/>
      <c r="D68" s="303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2" t="str">
        <f t="shared" si="8"/>
        <v xml:space="preserve">2013 Actual </v>
      </c>
      <c r="C69" s="303"/>
      <c r="D69" s="303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2" t="str">
        <f t="shared" si="8"/>
        <v>2014 Bridge - Normalized</v>
      </c>
      <c r="C70" s="303"/>
      <c r="D70" s="303"/>
      <c r="E70" s="102">
        <f>'Rate Class Customer Model'!B18</f>
        <v>21117</v>
      </c>
      <c r="F70" s="102">
        <f>'Rate Class Customer Model'!C18</f>
        <v>2657</v>
      </c>
      <c r="G70" s="102">
        <f>'Rate Class Customer Model'!D18</f>
        <v>252</v>
      </c>
      <c r="H70" s="102">
        <f>Summary!Q33</f>
        <v>2</v>
      </c>
      <c r="I70" s="102">
        <f>'Rate Class Customer Model'!F18</f>
        <v>5419</v>
      </c>
      <c r="J70" s="102">
        <f>'Rate Class Customer Model'!G18</f>
        <v>427</v>
      </c>
      <c r="K70" s="102">
        <f>'Rate Class Customer Model'!H18</f>
        <v>11</v>
      </c>
      <c r="L70" s="94">
        <f t="shared" si="7"/>
        <v>29885</v>
      </c>
      <c r="M70" s="75"/>
      <c r="N70" s="75"/>
      <c r="O70" s="114"/>
    </row>
    <row r="71" spans="1:15" ht="15" customHeight="1" x14ac:dyDescent="0.2">
      <c r="A71" s="68"/>
      <c r="B71" s="302" t="str">
        <f t="shared" si="8"/>
        <v>2015 Test - Normalized</v>
      </c>
      <c r="C71" s="303"/>
      <c r="D71" s="303"/>
      <c r="E71" s="102">
        <f>'Rate Class Customer Model'!B19</f>
        <v>21124</v>
      </c>
      <c r="F71" s="102">
        <f>'Rate Class Customer Model'!C19</f>
        <v>2668</v>
      </c>
      <c r="G71" s="102">
        <f>'Rate Class Customer Model'!D19</f>
        <v>247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412</v>
      </c>
      <c r="K71" s="102">
        <f>'Rate Class Customer Model'!H19</f>
        <v>7</v>
      </c>
      <c r="L71" s="94">
        <f t="shared" si="7"/>
        <v>29878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265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0" t="s">
        <v>85</v>
      </c>
      <c r="C74" s="361"/>
      <c r="D74" s="361"/>
      <c r="E74" s="362" t="str">
        <f t="shared" ref="E74:K74" si="9">E28</f>
        <v xml:space="preserve">Residential </v>
      </c>
      <c r="F74" s="362" t="str">
        <f t="shared" si="9"/>
        <v>General Service &lt; 50 kW</v>
      </c>
      <c r="G74" s="362" t="str">
        <f t="shared" si="9"/>
        <v>General Service 50 to 2999 kW</v>
      </c>
      <c r="H74" s="362" t="str">
        <f t="shared" si="9"/>
        <v>General Service 3000 to 4999 kW</v>
      </c>
      <c r="I74" s="362" t="str">
        <f t="shared" si="9"/>
        <v>Street Lighting</v>
      </c>
      <c r="J74" s="362" t="str">
        <f t="shared" si="9"/>
        <v>Sentinel Lighting</v>
      </c>
      <c r="K74" s="362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2" t="str">
        <f t="shared" ref="B89:B95" si="15">B43</f>
        <v xml:space="preserve">2009 Actual </v>
      </c>
      <c r="C89" s="303"/>
      <c r="D89" s="303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2" t="str">
        <f t="shared" si="15"/>
        <v xml:space="preserve">2010 Actual </v>
      </c>
      <c r="C90" s="303"/>
      <c r="D90" s="303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2" t="str">
        <f t="shared" si="15"/>
        <v xml:space="preserve">2011 Actual </v>
      </c>
      <c r="C91" s="303"/>
      <c r="D91" s="303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2" t="str">
        <f t="shared" si="15"/>
        <v xml:space="preserve">2012 Actual </v>
      </c>
      <c r="C92" s="303"/>
      <c r="D92" s="303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2" t="str">
        <f t="shared" si="15"/>
        <v xml:space="preserve">2013 Actual </v>
      </c>
      <c r="C93" s="303"/>
      <c r="D93" s="303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2" t="str">
        <f t="shared" si="15"/>
        <v>2014 Bridge - Normalized</v>
      </c>
      <c r="C94" s="303"/>
      <c r="D94" s="303"/>
      <c r="E94" s="92">
        <f t="shared" si="13"/>
        <v>9752.8095728560093</v>
      </c>
      <c r="F94" s="92">
        <f t="shared" si="13"/>
        <v>32129.866270229926</v>
      </c>
      <c r="G94" s="92">
        <f t="shared" si="13"/>
        <v>862048.36285714281</v>
      </c>
      <c r="H94" s="92">
        <f t="shared" si="13"/>
        <v>13463277.910000002</v>
      </c>
      <c r="I94" s="92">
        <f t="shared" si="13"/>
        <v>373.97414467613953</v>
      </c>
      <c r="J94" s="92">
        <f t="shared" si="13"/>
        <v>992.95700234192145</v>
      </c>
      <c r="K94" s="92">
        <f t="shared" si="13"/>
        <v>4600.8681818181803</v>
      </c>
      <c r="M94" s="75"/>
      <c r="N94" s="75"/>
      <c r="O94" s="75"/>
    </row>
    <row r="95" spans="2:25" ht="15" customHeight="1" x14ac:dyDescent="0.2">
      <c r="B95" s="302" t="str">
        <f t="shared" si="15"/>
        <v>2015 Test - Normalized</v>
      </c>
      <c r="C95" s="303"/>
      <c r="D95" s="303"/>
      <c r="E95" s="92">
        <f t="shared" si="13"/>
        <v>9795.4736997871169</v>
      </c>
      <c r="F95" s="92">
        <f t="shared" si="13"/>
        <v>32216.11210199535</v>
      </c>
      <c r="G95" s="92">
        <f t="shared" si="13"/>
        <v>842732.98804740573</v>
      </c>
      <c r="H95" s="92">
        <f t="shared" si="13"/>
        <v>17254810.307607245</v>
      </c>
      <c r="I95" s="92">
        <f t="shared" si="13"/>
        <v>372.53410786333421</v>
      </c>
      <c r="J95" s="92">
        <f t="shared" si="13"/>
        <v>985.33809159265229</v>
      </c>
      <c r="K95" s="92">
        <f t="shared" si="13"/>
        <v>4577.8086330931565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256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2" t="str">
        <f t="shared" si="17"/>
        <v xml:space="preserve">2009 Actual </v>
      </c>
      <c r="C111" s="303"/>
      <c r="D111" s="303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2" t="str">
        <f t="shared" si="17"/>
        <v xml:space="preserve">2010 Actual </v>
      </c>
      <c r="C112" s="303"/>
      <c r="D112" s="303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2" t="str">
        <f t="shared" si="17"/>
        <v xml:space="preserve">2011 Actual </v>
      </c>
      <c r="C113" s="303"/>
      <c r="D113" s="303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2" t="str">
        <f t="shared" si="17"/>
        <v xml:space="preserve">2012 Actual </v>
      </c>
      <c r="C114" s="303"/>
      <c r="D114" s="303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2" t="str">
        <f t="shared" si="17"/>
        <v xml:space="preserve">2013 Actual </v>
      </c>
      <c r="C115" s="303"/>
      <c r="D115" s="303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2" t="str">
        <f t="shared" si="17"/>
        <v>2014 Bridge - Normalized</v>
      </c>
      <c r="C116" s="303"/>
      <c r="D116" s="303"/>
      <c r="E116" s="105">
        <f t="shared" si="19"/>
        <v>-9.3564613867934687E-3</v>
      </c>
      <c r="F116" s="105">
        <f t="shared" si="19"/>
        <v>-8.5937707691718934E-5</v>
      </c>
      <c r="G116" s="105">
        <f t="shared" si="19"/>
        <v>1.4809163770516554E-2</v>
      </c>
      <c r="H116" s="105">
        <f t="shared" si="19"/>
        <v>-0.2473367188768365</v>
      </c>
      <c r="I116" s="105">
        <f t="shared" si="19"/>
        <v>-0.11231099761341923</v>
      </c>
      <c r="J116" s="105">
        <f t="shared" si="19"/>
        <v>-4.4955405175467922E-2</v>
      </c>
      <c r="K116" s="105">
        <f t="shared" si="19"/>
        <v>-0.22530543050159502</v>
      </c>
    </row>
    <row r="117" spans="2:11" ht="15" customHeight="1" x14ac:dyDescent="0.2">
      <c r="B117" s="302" t="str">
        <f t="shared" si="17"/>
        <v>2015 Test - Normalized</v>
      </c>
      <c r="C117" s="303"/>
      <c r="D117" s="303"/>
      <c r="E117" s="105">
        <f t="shared" si="19"/>
        <v>4.3745473150476055E-3</v>
      </c>
      <c r="F117" s="105">
        <f t="shared" si="19"/>
        <v>2.6842885382729609E-3</v>
      </c>
      <c r="G117" s="105">
        <f t="shared" si="19"/>
        <v>-2.2406370271058629E-2</v>
      </c>
      <c r="H117" s="105">
        <f t="shared" si="19"/>
        <v>0.28162030249639569</v>
      </c>
      <c r="I117" s="105">
        <f t="shared" si="19"/>
        <v>-3.8506320110776038E-3</v>
      </c>
      <c r="J117" s="105">
        <f t="shared" si="19"/>
        <v>-7.6729513274993444E-3</v>
      </c>
      <c r="K117" s="105">
        <f t="shared" si="19"/>
        <v>-5.0119994344004493E-3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0" t="s">
        <v>98</v>
      </c>
      <c r="C120" s="361"/>
      <c r="D120" s="361"/>
      <c r="E120" s="362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Model'!Q7</f>
        <v>0.97814829331720132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Model'!Q8</f>
        <v>0.97731697838905129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Model'!T14</f>
        <v>1176.6278460727535</v>
      </c>
      <c r="F123" s="84"/>
      <c r="G123" s="84"/>
    </row>
    <row r="124" spans="2:11" ht="15" customHeight="1" x14ac:dyDescent="0.2">
      <c r="B124" s="304" t="s">
        <v>259</v>
      </c>
      <c r="C124" s="305"/>
      <c r="D124" s="305"/>
      <c r="E124" s="86">
        <f>'Purchased Power Model'!O195</f>
        <v>1.7159226578412384E-2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Model'!P20</f>
        <v>Heating Degree Days</v>
      </c>
      <c r="C126" s="85"/>
      <c r="D126" s="85"/>
      <c r="E126" s="107">
        <f>'Purchased Power Model'!S20</f>
        <v>64.718873928357112</v>
      </c>
      <c r="F126" s="84"/>
      <c r="G126" s="84"/>
    </row>
    <row r="127" spans="2:11" ht="15" customHeight="1" x14ac:dyDescent="0.2">
      <c r="B127" s="106" t="str">
        <f>'Purchased Power Model'!P21</f>
        <v>Cooling Degree Days</v>
      </c>
      <c r="C127" s="85"/>
      <c r="D127" s="85"/>
      <c r="E127" s="107">
        <f>'Purchased Power Model'!S21</f>
        <v>13.50599958266084</v>
      </c>
      <c r="F127" s="84"/>
      <c r="G127" s="84"/>
    </row>
    <row r="128" spans="2:11" ht="15" customHeight="1" x14ac:dyDescent="0.2">
      <c r="B128" s="106" t="str">
        <f>'Purchased Power Model'!P22</f>
        <v>Number of Days in Month</v>
      </c>
      <c r="C128" s="85"/>
      <c r="D128" s="85"/>
      <c r="E128" s="107">
        <f>'Purchased Power Model'!S22</f>
        <v>11.466785673269536</v>
      </c>
      <c r="F128" s="84"/>
      <c r="G128" s="84"/>
    </row>
    <row r="129" spans="2:9" ht="15" customHeight="1" x14ac:dyDescent="0.2">
      <c r="B129" s="106" t="str">
        <f>'Purchased Power Model'!P23</f>
        <v>Spring Fall Flag</v>
      </c>
      <c r="C129" s="85"/>
      <c r="D129" s="85"/>
      <c r="E129" s="107">
        <f>'Purchased Power Model'!S23</f>
        <v>-8.7890198454766288</v>
      </c>
      <c r="F129" s="84"/>
      <c r="G129" s="84"/>
    </row>
    <row r="130" spans="2:9" ht="15" customHeight="1" x14ac:dyDescent="0.2">
      <c r="B130" s="106" t="str">
        <f>'Purchased Power Model'!P24</f>
        <v>North Bay  Economy</v>
      </c>
      <c r="C130" s="85"/>
      <c r="D130" s="85"/>
      <c r="E130" s="107">
        <f>'Purchased Power Model'!S24</f>
        <v>-10.285905815847162</v>
      </c>
      <c r="F130" s="84"/>
      <c r="G130" s="84"/>
    </row>
    <row r="131" spans="2:9" ht="15" customHeight="1" x14ac:dyDescent="0.2">
      <c r="B131" s="106" t="s">
        <v>305</v>
      </c>
      <c r="C131" s="85"/>
      <c r="D131" s="85"/>
      <c r="E131" s="107">
        <f>'Purchased Power Model'!S19</f>
        <v>-1.5456603692770119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0" t="s">
        <v>85</v>
      </c>
      <c r="C134" s="361"/>
      <c r="D134" s="361"/>
      <c r="E134" s="362" t="s">
        <v>102</v>
      </c>
      <c r="F134" s="362" t="s">
        <v>103</v>
      </c>
      <c r="G134" s="362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586.9857282179629</v>
      </c>
      <c r="G136" s="108">
        <f t="shared" ref="G136:G151" si="20">F136/E136-1</f>
        <v>3.415747104082989E-4</v>
      </c>
      <c r="I136" s="121"/>
    </row>
    <row r="137" spans="2:9" ht="15" customHeight="1" x14ac:dyDescent="0.2">
      <c r="B137" s="304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589.37585457640068</v>
      </c>
      <c r="G137" s="108">
        <f t="shared" si="20"/>
        <v>-2.3370460943573645E-3</v>
      </c>
      <c r="I137" s="121"/>
    </row>
    <row r="138" spans="2:9" ht="15" customHeight="1" x14ac:dyDescent="0.2">
      <c r="B138" s="304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586.62592916793199</v>
      </c>
      <c r="G138" s="108">
        <f t="shared" si="20"/>
        <v>-2.0701292074630784E-3</v>
      </c>
      <c r="I138" s="121"/>
    </row>
    <row r="139" spans="2:9" ht="15" customHeight="1" x14ac:dyDescent="0.2">
      <c r="B139" s="304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598.00623751023875</v>
      </c>
      <c r="G139" s="108">
        <f t="shared" si="20"/>
        <v>7.0176635076633076E-3</v>
      </c>
      <c r="I139" s="121"/>
    </row>
    <row r="140" spans="2:9" ht="15" customHeight="1" x14ac:dyDescent="0.2">
      <c r="B140" s="304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594.8075715140584</v>
      </c>
      <c r="G140" s="108">
        <f t="shared" si="20"/>
        <v>2.9793887375229033E-4</v>
      </c>
      <c r="I140" s="121"/>
    </row>
    <row r="141" spans="2:9" ht="15" customHeight="1" x14ac:dyDescent="0.2">
      <c r="B141" s="304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598.11441414720605</v>
      </c>
      <c r="G141" s="108">
        <f t="shared" si="20"/>
        <v>-6.0528210332866372E-3</v>
      </c>
      <c r="I141" s="121"/>
    </row>
    <row r="142" spans="2:9" ht="15" customHeight="1" x14ac:dyDescent="0.2">
      <c r="B142" s="304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602.3262942568324</v>
      </c>
      <c r="G142" s="108">
        <f t="shared" si="20"/>
        <v>-6.6583256927191803E-3</v>
      </c>
      <c r="I142" s="121"/>
    </row>
    <row r="143" spans="2:9" ht="15" customHeight="1" x14ac:dyDescent="0.2">
      <c r="B143" s="304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585.66367963589357</v>
      </c>
      <c r="G143" s="108">
        <f t="shared" si="20"/>
        <v>-1.6921246013712476E-4</v>
      </c>
      <c r="I143" s="121"/>
    </row>
    <row r="144" spans="2:9" ht="15" customHeight="1" x14ac:dyDescent="0.2">
      <c r="B144" s="304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599.9307784031547</v>
      </c>
      <c r="G144" s="108">
        <f t="shared" si="20"/>
        <v>2.1556590376148321E-3</v>
      </c>
      <c r="I144" s="121"/>
    </row>
    <row r="145" spans="2:15" ht="15" customHeight="1" x14ac:dyDescent="0.2">
      <c r="B145" s="304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595.33214699348594</v>
      </c>
      <c r="G145" s="108">
        <f t="shared" si="20"/>
        <v>7.1970603654247789E-4</v>
      </c>
      <c r="I145" s="121"/>
    </row>
    <row r="146" spans="2:15" ht="15" customHeight="1" x14ac:dyDescent="0.2">
      <c r="B146" s="304">
        <v>2009</v>
      </c>
      <c r="C146" s="305"/>
      <c r="D146" s="305"/>
      <c r="E146" s="95">
        <f>'Rate Class Energy Model'!B17/1000000</f>
        <v>580.32068307692305</v>
      </c>
      <c r="F146" s="95">
        <f>'Rate Class Energy Model'!C17/1000000</f>
        <v>590.09915650196899</v>
      </c>
      <c r="G146" s="108">
        <f t="shared" si="20"/>
        <v>1.6850120476836095E-2</v>
      </c>
      <c r="I146" s="121"/>
    </row>
    <row r="147" spans="2:15" ht="15" customHeight="1" x14ac:dyDescent="0.2">
      <c r="B147" s="304">
        <v>2010</v>
      </c>
      <c r="C147" s="305"/>
      <c r="D147" s="305"/>
      <c r="E147" s="95">
        <f>'Rate Class Energy Model'!B18/1000000</f>
        <v>592.10595384615385</v>
      </c>
      <c r="F147" s="95">
        <f>'Rate Class Energy Model'!C18/1000000</f>
        <v>586.2987360369815</v>
      </c>
      <c r="G147" s="108">
        <f t="shared" si="20"/>
        <v>-9.8077341925888462E-3</v>
      </c>
      <c r="I147" s="121"/>
    </row>
    <row r="148" spans="2:15" ht="15" customHeight="1" x14ac:dyDescent="0.2">
      <c r="B148" s="304">
        <v>2011</v>
      </c>
      <c r="C148" s="305"/>
      <c r="D148" s="305"/>
      <c r="E148" s="95">
        <f>'Rate Class Energy Model'!B19/1000000</f>
        <v>593.73860769230771</v>
      </c>
      <c r="F148" s="95">
        <f>'Rate Class Energy Model'!C19/1000000</f>
        <v>593.88012245326922</v>
      </c>
      <c r="G148" s="108">
        <f t="shared" si="20"/>
        <v>2.3834522318089135E-4</v>
      </c>
      <c r="I148" s="121"/>
    </row>
    <row r="149" spans="2:15" ht="15" customHeight="1" x14ac:dyDescent="0.2">
      <c r="B149" s="304">
        <v>2012</v>
      </c>
      <c r="C149" s="305"/>
      <c r="D149" s="305"/>
      <c r="E149" s="95">
        <f>'Rate Class Energy Model'!B20/1000000</f>
        <v>572.61269267601392</v>
      </c>
      <c r="F149" s="95">
        <f>'Rate Class Energy Model'!C20/1000000</f>
        <v>561.74531885782051</v>
      </c>
      <c r="G149" s="108">
        <f t="shared" si="20"/>
        <v>-1.8978576544306902E-2</v>
      </c>
      <c r="I149" s="121"/>
    </row>
    <row r="150" spans="2:15" ht="15" customHeight="1" x14ac:dyDescent="0.2">
      <c r="B150" s="304">
        <v>2013</v>
      </c>
      <c r="C150" s="305"/>
      <c r="D150" s="305"/>
      <c r="E150" s="95">
        <f>'Rate Class Energy Model'!B21/1000000</f>
        <v>573.17208477666668</v>
      </c>
      <c r="F150" s="95">
        <f>'Rate Class Energy Model'!C21/1000000</f>
        <v>571.75414449538948</v>
      </c>
      <c r="G150" s="108">
        <f t="shared" si="20"/>
        <v>-2.4738474167486091E-3</v>
      </c>
      <c r="I150" s="121"/>
      <c r="J150"/>
      <c r="K150"/>
    </row>
    <row r="151" spans="2:15" ht="15" customHeight="1" x14ac:dyDescent="0.2">
      <c r="B151" s="304">
        <v>2014</v>
      </c>
      <c r="C151" s="305"/>
      <c r="D151" s="305"/>
      <c r="E151" s="95">
        <f>'Rate Class Energy Model'!B22/1000000</f>
        <v>561.1897317228204</v>
      </c>
      <c r="F151" s="95">
        <f>'Rate Class Energy Model'!C22/1000000</f>
        <v>573.47504582229112</v>
      </c>
      <c r="G151" s="108">
        <f t="shared" si="20"/>
        <v>2.1891551831776157E-2</v>
      </c>
      <c r="I151" s="121"/>
      <c r="J151"/>
      <c r="K151"/>
    </row>
    <row r="152" spans="2:15" ht="15" customHeight="1" x14ac:dyDescent="0.2">
      <c r="B152" s="304" t="str">
        <f t="shared" ref="B152" si="21">B117</f>
        <v>2015 Test - Normalized</v>
      </c>
      <c r="C152" s="305"/>
      <c r="D152" s="305"/>
      <c r="E152" s="95"/>
      <c r="F152" s="95">
        <f>'Rate Class Energy Model'!C23/1000000</f>
        <v>570.29599586402389</v>
      </c>
      <c r="G152" s="108"/>
      <c r="I152" s="121"/>
      <c r="J152"/>
      <c r="K152"/>
    </row>
    <row r="153" spans="2:15" ht="15" customHeight="1" x14ac:dyDescent="0.2">
      <c r="B153" s="407" t="s">
        <v>262</v>
      </c>
      <c r="C153" s="408"/>
      <c r="D153" s="408"/>
      <c r="E153" s="409"/>
      <c r="F153" s="95">
        <f>'Purchased Power Model'!J249/1000000</f>
        <v>442.24967431661628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266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0" t="s">
        <v>85</v>
      </c>
      <c r="C157" s="361"/>
      <c r="D157" s="361"/>
      <c r="E157" s="362" t="str">
        <f t="shared" ref="E157:K157" si="22">E74</f>
        <v xml:space="preserve">Residential </v>
      </c>
      <c r="F157" s="362" t="str">
        <f t="shared" si="22"/>
        <v>General Service &lt; 50 kW</v>
      </c>
      <c r="G157" s="362" t="str">
        <f t="shared" si="22"/>
        <v>General Service 50 to 2999 kW</v>
      </c>
      <c r="H157" s="362" t="str">
        <f t="shared" si="22"/>
        <v>General Service 3000 to 4999 kW</v>
      </c>
      <c r="I157" s="362" t="str">
        <f t="shared" si="22"/>
        <v>Street Lighting</v>
      </c>
      <c r="J157" s="362" t="str">
        <f t="shared" si="22"/>
        <v>Sentinel Lighting</v>
      </c>
      <c r="K157" s="362" t="str">
        <f t="shared" si="22"/>
        <v xml:space="preserve">Unmetered Scattered Load </v>
      </c>
      <c r="L157" s="362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1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1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1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1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1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1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1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1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15" ht="15" customHeight="1" x14ac:dyDescent="0.2">
      <c r="B169" s="304">
        <f t="shared" si="23"/>
        <v>2009</v>
      </c>
      <c r="C169" s="305"/>
      <c r="D169" s="305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15" ht="15" customHeight="1" x14ac:dyDescent="0.2">
      <c r="B170" s="304">
        <f t="shared" si="23"/>
        <v>2010</v>
      </c>
      <c r="C170" s="305"/>
      <c r="D170" s="305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15" ht="15" customHeight="1" x14ac:dyDescent="0.2">
      <c r="B171" s="304">
        <f t="shared" si="23"/>
        <v>2011</v>
      </c>
      <c r="C171" s="305"/>
      <c r="D171" s="305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15" ht="15" customHeight="1" x14ac:dyDescent="0.2">
      <c r="B172" s="304">
        <f t="shared" si="23"/>
        <v>2012</v>
      </c>
      <c r="C172" s="305"/>
      <c r="D172" s="305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15" ht="15" customHeight="1" x14ac:dyDescent="0.2">
      <c r="B173" s="304">
        <f t="shared" si="23"/>
        <v>2013</v>
      </c>
      <c r="C173" s="305"/>
      <c r="D173" s="305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15" ht="15" customHeight="1" x14ac:dyDescent="0.2">
      <c r="B174" s="376">
        <v>2014</v>
      </c>
      <c r="C174" s="377"/>
      <c r="D174" s="377"/>
      <c r="E174" s="124">
        <f>'Rate Class Customer Model'!B18</f>
        <v>21117</v>
      </c>
      <c r="F174" s="124">
        <f>'Rate Class Customer Model'!C18</f>
        <v>2657</v>
      </c>
      <c r="G174" s="124">
        <f>'Rate Class Customer Model'!D18</f>
        <v>252</v>
      </c>
      <c r="H174" s="124">
        <f>'Rate Class Customer Model'!E18</f>
        <v>2</v>
      </c>
      <c r="I174" s="124">
        <f>'Rate Class Customer Model'!F18</f>
        <v>5419</v>
      </c>
      <c r="J174" s="124">
        <f>'Rate Class Customer Model'!G18</f>
        <v>427</v>
      </c>
      <c r="K174" s="124">
        <f>'Rate Class Customer Model'!H18</f>
        <v>11</v>
      </c>
      <c r="L174" s="73">
        <f t="shared" ref="L174" si="25">SUM(E174:K174)</f>
        <v>29885</v>
      </c>
      <c r="M174" s="75"/>
      <c r="N174" s="75"/>
      <c r="O174" s="75"/>
    </row>
    <row r="175" spans="2:15" ht="15" customHeight="1" x14ac:dyDescent="0.2">
      <c r="B175" s="69"/>
      <c r="C175" s="69"/>
      <c r="D175" s="69"/>
    </row>
    <row r="176" spans="2:15" ht="15" customHeight="1" x14ac:dyDescent="0.2">
      <c r="B176" s="70" t="s">
        <v>272</v>
      </c>
      <c r="C176" s="70"/>
      <c r="D176" s="70"/>
      <c r="E176" s="83"/>
      <c r="F176" s="83"/>
      <c r="G176" s="83"/>
      <c r="H176" s="83"/>
      <c r="I176" s="83"/>
      <c r="J176" s="83"/>
    </row>
    <row r="177" spans="2:25" ht="33.75" x14ac:dyDescent="0.2">
      <c r="B177" s="360" t="s">
        <v>85</v>
      </c>
      <c r="C177" s="361"/>
      <c r="D177" s="361"/>
      <c r="E177" s="362" t="str">
        <f>E157</f>
        <v xml:space="preserve">Residential </v>
      </c>
      <c r="F177" s="362" t="str">
        <f t="shared" ref="F177:K177" si="26">F157</f>
        <v>General Service &lt; 50 kW</v>
      </c>
      <c r="G177" s="362" t="str">
        <f t="shared" si="26"/>
        <v>General Service 50 to 2999 kW</v>
      </c>
      <c r="H177" s="362" t="str">
        <f t="shared" si="26"/>
        <v>General Service 3000 to 4999 kW</v>
      </c>
      <c r="I177" s="362" t="str">
        <f t="shared" si="26"/>
        <v>Street Lighting</v>
      </c>
      <c r="J177" s="362" t="str">
        <f t="shared" si="26"/>
        <v>Sentinel Lighting</v>
      </c>
      <c r="K177" s="362" t="str">
        <f t="shared" si="26"/>
        <v xml:space="preserve">Unmetered Scattered Load </v>
      </c>
      <c r="Y177" s="75"/>
    </row>
    <row r="178" spans="2:25" ht="15" customHeight="1" x14ac:dyDescent="0.2">
      <c r="B178" s="115" t="s">
        <v>105</v>
      </c>
      <c r="C178" s="116"/>
      <c r="D178" s="116"/>
      <c r="E178" s="116"/>
      <c r="F178" s="116"/>
      <c r="G178" s="116"/>
      <c r="H178" s="116"/>
      <c r="I178" s="116"/>
      <c r="J178" s="116"/>
      <c r="K178" s="117"/>
      <c r="Y178" s="75"/>
    </row>
    <row r="179" spans="2:25" ht="15" customHeight="1" x14ac:dyDescent="0.2">
      <c r="B179" s="122">
        <f t="shared" ref="B179:B194" si="27">B159</f>
        <v>1999</v>
      </c>
      <c r="C179" s="123"/>
      <c r="D179" s="123"/>
      <c r="E179" s="110"/>
      <c r="F179" s="110"/>
      <c r="G179" s="110"/>
      <c r="H179" s="110"/>
      <c r="I179" s="110"/>
      <c r="J179" s="110"/>
      <c r="K179" s="110"/>
    </row>
    <row r="180" spans="2:25" ht="15" customHeight="1" x14ac:dyDescent="0.2">
      <c r="B180" s="90">
        <f t="shared" si="27"/>
        <v>2000</v>
      </c>
      <c r="C180" s="85"/>
      <c r="D180" s="85"/>
      <c r="E180" s="110">
        <f t="shared" ref="E180:K180" si="28">E160/E159-1</f>
        <v>4.2298565975447122E-3</v>
      </c>
      <c r="F180" s="110">
        <f t="shared" si="28"/>
        <v>4.0176777822418241E-3</v>
      </c>
      <c r="G180" s="110">
        <f t="shared" si="28"/>
        <v>4.5662100456621113E-2</v>
      </c>
      <c r="H180" s="110">
        <f t="shared" si="28"/>
        <v>0</v>
      </c>
      <c r="I180" s="110">
        <f t="shared" si="28"/>
        <v>2.7800000000000047E-2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7"/>
        <v>2001</v>
      </c>
      <c r="C181" s="85"/>
      <c r="D181" s="85"/>
      <c r="E181" s="110">
        <f t="shared" ref="E181:K181" si="29">E161/E160-1</f>
        <v>9.09184302445043E-3</v>
      </c>
      <c r="F181" s="110">
        <f t="shared" si="29"/>
        <v>2.2408963585434094E-2</v>
      </c>
      <c r="G181" s="110">
        <f t="shared" si="29"/>
        <v>6.5502183406113579E-2</v>
      </c>
      <c r="H181" s="110">
        <f t="shared" si="29"/>
        <v>0</v>
      </c>
      <c r="I181" s="110">
        <f t="shared" si="29"/>
        <v>0</v>
      </c>
      <c r="J181" s="110">
        <f t="shared" si="29"/>
        <v>0</v>
      </c>
      <c r="K181" s="110">
        <f t="shared" si="29"/>
        <v>0</v>
      </c>
    </row>
    <row r="182" spans="2:25" ht="15" customHeight="1" x14ac:dyDescent="0.2">
      <c r="B182" s="90">
        <f t="shared" si="27"/>
        <v>2002</v>
      </c>
      <c r="C182" s="85"/>
      <c r="D182" s="85"/>
      <c r="E182" s="110">
        <f t="shared" ref="E182" si="30">E162/E161-1</f>
        <v>1.6696360397047583E-2</v>
      </c>
      <c r="F182" s="110">
        <f t="shared" ref="F182:K182" si="31">F162/F161-1</f>
        <v>2.73972602739736E-3</v>
      </c>
      <c r="G182" s="110">
        <f t="shared" si="31"/>
        <v>4.508196721311486E-2</v>
      </c>
      <c r="H182" s="110">
        <f t="shared" si="31"/>
        <v>0</v>
      </c>
      <c r="I182" s="110">
        <f t="shared" si="31"/>
        <v>2.8799377310760876E-2</v>
      </c>
      <c r="J182" s="110">
        <f t="shared" si="31"/>
        <v>0</v>
      </c>
      <c r="K182" s="110">
        <f t="shared" si="31"/>
        <v>0</v>
      </c>
    </row>
    <row r="183" spans="2:25" ht="15" customHeight="1" x14ac:dyDescent="0.2">
      <c r="B183" s="90">
        <f t="shared" si="27"/>
        <v>2003</v>
      </c>
      <c r="C183" s="85"/>
      <c r="D183" s="85"/>
      <c r="E183" s="110">
        <f t="shared" ref="E183" si="32">E163/E162-1</f>
        <v>-5.557502628548594E-3</v>
      </c>
      <c r="F183" s="110">
        <f t="shared" ref="F183:K183" si="33">F163/F162-1</f>
        <v>2.3419203747072626E-3</v>
      </c>
      <c r="G183" s="110">
        <f t="shared" si="33"/>
        <v>-7.8431372549019329E-3</v>
      </c>
      <c r="H183" s="110">
        <f t="shared" si="33"/>
        <v>-0.33333333333333337</v>
      </c>
      <c r="I183" s="110">
        <f t="shared" si="33"/>
        <v>-1.891431813883071E-3</v>
      </c>
      <c r="J183" s="110">
        <f t="shared" si="33"/>
        <v>0.10708117443868748</v>
      </c>
      <c r="K183" s="110">
        <f t="shared" si="33"/>
        <v>0</v>
      </c>
    </row>
    <row r="184" spans="2:25" ht="15" customHeight="1" x14ac:dyDescent="0.2">
      <c r="B184" s="90">
        <f t="shared" si="27"/>
        <v>2004</v>
      </c>
      <c r="C184" s="85"/>
      <c r="D184" s="85"/>
      <c r="E184" s="110">
        <f t="shared" ref="E184" si="34">E164/E163-1</f>
        <v>5.2361292921156988E-3</v>
      </c>
      <c r="F184" s="110">
        <f t="shared" ref="F184:K184" si="35">F164/F163-1</f>
        <v>1.1682242990654235E-2</v>
      </c>
      <c r="G184" s="110">
        <f t="shared" si="35"/>
        <v>0</v>
      </c>
      <c r="H184" s="110">
        <f t="shared" si="35"/>
        <v>0</v>
      </c>
      <c r="I184" s="110">
        <f t="shared" si="35"/>
        <v>4.3774872086412842E-2</v>
      </c>
      <c r="J184" s="110">
        <f t="shared" si="35"/>
        <v>-0.1045241809672387</v>
      </c>
      <c r="K184" s="110">
        <f t="shared" si="35"/>
        <v>0</v>
      </c>
    </row>
    <row r="185" spans="2:25" ht="15" customHeight="1" x14ac:dyDescent="0.2">
      <c r="B185" s="90">
        <f t="shared" si="27"/>
        <v>2005</v>
      </c>
      <c r="C185" s="85"/>
      <c r="D185" s="85"/>
      <c r="E185" s="110">
        <f t="shared" ref="E185" si="36">E165/E164-1</f>
        <v>7.9635380146247936E-3</v>
      </c>
      <c r="F185" s="110">
        <f t="shared" ref="F185:K185" si="37">F165/F164-1</f>
        <v>-1.1547344110854896E-3</v>
      </c>
      <c r="G185" s="110">
        <f t="shared" si="37"/>
        <v>7.905138339920903E-3</v>
      </c>
      <c r="H185" s="110">
        <f t="shared" si="37"/>
        <v>0</v>
      </c>
      <c r="I185" s="110">
        <f t="shared" si="37"/>
        <v>4.7204066811910028E-3</v>
      </c>
      <c r="J185" s="110">
        <f t="shared" si="37"/>
        <v>-3.3101045296167197E-2</v>
      </c>
      <c r="K185" s="110">
        <f t="shared" si="37"/>
        <v>0</v>
      </c>
    </row>
    <row r="186" spans="2:25" ht="15" customHeight="1" x14ac:dyDescent="0.2">
      <c r="B186" s="90">
        <f t="shared" si="27"/>
        <v>2006</v>
      </c>
      <c r="C186" s="85"/>
      <c r="D186" s="85"/>
      <c r="E186" s="110">
        <f t="shared" ref="E186" si="38">E166/E165-1</f>
        <v>2.1366459627329082E-2</v>
      </c>
      <c r="F186" s="110">
        <f t="shared" ref="F186:K186" si="39">F166/F165-1</f>
        <v>3.1984585741811067E-2</v>
      </c>
      <c r="G186" s="110">
        <f t="shared" si="39"/>
        <v>1.1764705882352899E-2</v>
      </c>
      <c r="H186" s="110">
        <f t="shared" si="39"/>
        <v>0</v>
      </c>
      <c r="I186" s="110">
        <f t="shared" si="39"/>
        <v>-4.3368268883267058E-3</v>
      </c>
      <c r="J186" s="110">
        <f t="shared" si="39"/>
        <v>9.1891891891891841E-2</v>
      </c>
      <c r="K186" s="110">
        <f t="shared" si="39"/>
        <v>0</v>
      </c>
    </row>
    <row r="187" spans="2:25" ht="15" customHeight="1" x14ac:dyDescent="0.2">
      <c r="B187" s="90">
        <f t="shared" si="27"/>
        <v>2007</v>
      </c>
      <c r="C187" s="85"/>
      <c r="D187" s="85"/>
      <c r="E187" s="110">
        <f t="shared" ref="E187" si="40">E167/E166-1</f>
        <v>8.3191437606422447E-3</v>
      </c>
      <c r="F187" s="110">
        <f t="shared" ref="F187:K187" si="41">F167/F166-1</f>
        <v>-1.9417475728155331E-2</v>
      </c>
      <c r="G187" s="110">
        <f t="shared" si="41"/>
        <v>3.488372093023262E-2</v>
      </c>
      <c r="H187" s="110">
        <f t="shared" si="41"/>
        <v>0</v>
      </c>
      <c r="I187" s="110">
        <f t="shared" si="41"/>
        <v>4.3557168784029709E-3</v>
      </c>
      <c r="J187" s="110">
        <f t="shared" si="41"/>
        <v>-4.7854785478547823E-2</v>
      </c>
      <c r="K187" s="110">
        <f t="shared" si="41"/>
        <v>0</v>
      </c>
    </row>
    <row r="188" spans="2:25" ht="15" customHeight="1" x14ac:dyDescent="0.2">
      <c r="B188" s="90">
        <f t="shared" si="27"/>
        <v>2008</v>
      </c>
      <c r="C188" s="85"/>
      <c r="D188" s="85"/>
      <c r="E188" s="110">
        <f t="shared" ref="E188" si="42">E168/E167-1</f>
        <v>1.4957058766766895E-3</v>
      </c>
      <c r="F188" s="110">
        <f t="shared" ref="F188:K188" si="43">F168/F167-1</f>
        <v>-3.8080731150038627E-3</v>
      </c>
      <c r="G188" s="110">
        <f t="shared" si="43"/>
        <v>2.2471910112359605E-2</v>
      </c>
      <c r="H188" s="110">
        <f t="shared" si="43"/>
        <v>0</v>
      </c>
      <c r="I188" s="110">
        <f t="shared" si="43"/>
        <v>2.8912179255511372E-3</v>
      </c>
      <c r="J188" s="110">
        <f t="shared" si="43"/>
        <v>-9.7053726169843979E-2</v>
      </c>
      <c r="K188" s="110">
        <f t="shared" si="43"/>
        <v>0</v>
      </c>
    </row>
    <row r="189" spans="2:25" ht="15" customHeight="1" x14ac:dyDescent="0.2">
      <c r="B189" s="304">
        <f t="shared" si="27"/>
        <v>2009</v>
      </c>
      <c r="C189" s="305"/>
      <c r="D189" s="305"/>
      <c r="E189" s="110">
        <f t="shared" ref="E189:K189" si="44">E169/E168-1</f>
        <v>4.4804162451221874E-3</v>
      </c>
      <c r="F189" s="110">
        <f t="shared" si="44"/>
        <v>4.9694189602447203E-3</v>
      </c>
      <c r="G189" s="110">
        <f t="shared" si="44"/>
        <v>3.66300366300365E-3</v>
      </c>
      <c r="H189" s="110">
        <f t="shared" si="44"/>
        <v>0</v>
      </c>
      <c r="I189" s="110">
        <f t="shared" si="44"/>
        <v>3.7837837837837451E-3</v>
      </c>
      <c r="J189" s="110">
        <f t="shared" si="44"/>
        <v>-5.7581573896353655E-3</v>
      </c>
      <c r="K189" s="110">
        <f t="shared" si="44"/>
        <v>0</v>
      </c>
    </row>
    <row r="190" spans="2:25" ht="15" customHeight="1" x14ac:dyDescent="0.2">
      <c r="B190" s="304">
        <f t="shared" si="27"/>
        <v>2010</v>
      </c>
      <c r="C190" s="305"/>
      <c r="D190" s="305"/>
      <c r="E190" s="110">
        <f t="shared" ref="E190:K190" si="45">E170/E169-1</f>
        <v>4.8920863309351859E-3</v>
      </c>
      <c r="F190" s="110">
        <f t="shared" si="45"/>
        <v>1.521491061239999E-3</v>
      </c>
      <c r="G190" s="110">
        <f t="shared" si="45"/>
        <v>-1.8248175182481785E-2</v>
      </c>
      <c r="H190" s="110">
        <f t="shared" si="45"/>
        <v>0</v>
      </c>
      <c r="I190" s="110">
        <f t="shared" si="45"/>
        <v>1.7950098725538766E-4</v>
      </c>
      <c r="J190" s="110">
        <f t="shared" si="45"/>
        <v>-1.737451737451734E-2</v>
      </c>
      <c r="K190" s="110">
        <f t="shared" si="45"/>
        <v>-9.5238095238095233E-2</v>
      </c>
    </row>
    <row r="191" spans="2:25" ht="15" customHeight="1" x14ac:dyDescent="0.2">
      <c r="B191" s="304">
        <f t="shared" si="27"/>
        <v>2011</v>
      </c>
      <c r="C191" s="305"/>
      <c r="D191" s="305"/>
      <c r="E191" s="110">
        <f t="shared" ref="E191:K191" si="46">E171/E170-1</f>
        <v>6.8728522336769515E-3</v>
      </c>
      <c r="F191" s="110">
        <f t="shared" si="46"/>
        <v>-3.7979491074819904E-3</v>
      </c>
      <c r="G191" s="110">
        <f t="shared" si="46"/>
        <v>-3.7174721189591198E-3</v>
      </c>
      <c r="H191" s="110">
        <f t="shared" si="46"/>
        <v>0</v>
      </c>
      <c r="I191" s="110">
        <f t="shared" si="46"/>
        <v>3.5893754486715501E-4</v>
      </c>
      <c r="J191" s="110">
        <f t="shared" si="46"/>
        <v>-6.8762278978389046E-2</v>
      </c>
      <c r="K191" s="110">
        <f t="shared" si="46"/>
        <v>-5.2631578947368474E-2</v>
      </c>
    </row>
    <row r="192" spans="2:25" ht="15" customHeight="1" x14ac:dyDescent="0.2">
      <c r="B192" s="304">
        <f t="shared" si="27"/>
        <v>2012</v>
      </c>
      <c r="C192" s="305"/>
      <c r="D192" s="305"/>
      <c r="E192" s="110">
        <f t="shared" ref="E192:K192" si="47">E172/E171-1</f>
        <v>-1.0428517254456038E-3</v>
      </c>
      <c r="F192" s="110">
        <f t="shared" si="47"/>
        <v>8.3873427373237774E-3</v>
      </c>
      <c r="G192" s="110">
        <f t="shared" si="47"/>
        <v>-5.2238805970149294E-2</v>
      </c>
      <c r="H192" s="110">
        <f t="shared" si="47"/>
        <v>0</v>
      </c>
      <c r="I192" s="110">
        <f t="shared" si="47"/>
        <v>0</v>
      </c>
      <c r="J192" s="110">
        <f t="shared" si="47"/>
        <v>-5.6962025316455667E-2</v>
      </c>
      <c r="K192" s="110">
        <f t="shared" si="47"/>
        <v>-5.555555555555558E-2</v>
      </c>
    </row>
    <row r="193" spans="2:14" ht="15" customHeight="1" x14ac:dyDescent="0.2">
      <c r="B193" s="304">
        <f t="shared" si="27"/>
        <v>2013</v>
      </c>
      <c r="C193" s="305"/>
      <c r="D193" s="305"/>
      <c r="E193" s="110">
        <f t="shared" ref="E193:K194" si="48">E173/E172-1</f>
        <v>1.6133624371263977E-3</v>
      </c>
      <c r="F193" s="110">
        <f t="shared" si="48"/>
        <v>1.5122873345936316E-3</v>
      </c>
      <c r="G193" s="110">
        <f t="shared" si="48"/>
        <v>3.937007874015741E-3</v>
      </c>
      <c r="H193" s="110">
        <f t="shared" si="48"/>
        <v>0</v>
      </c>
      <c r="I193" s="110">
        <f t="shared" si="48"/>
        <v>0</v>
      </c>
      <c r="J193" s="110">
        <f t="shared" si="48"/>
        <v>-4.4742729306487705E-2</v>
      </c>
      <c r="K193" s="110">
        <f t="shared" si="48"/>
        <v>-0.11764705882352944</v>
      </c>
    </row>
    <row r="194" spans="2:14" ht="15" customHeight="1" x14ac:dyDescent="0.2">
      <c r="B194" s="376">
        <f t="shared" si="27"/>
        <v>2014</v>
      </c>
      <c r="C194" s="377"/>
      <c r="D194" s="377"/>
      <c r="E194" s="110">
        <f t="shared" si="48"/>
        <v>4.2637862421823769E-4</v>
      </c>
      <c r="F194" s="110">
        <f t="shared" si="48"/>
        <v>3.020007550018855E-3</v>
      </c>
      <c r="G194" s="110">
        <f t="shared" si="48"/>
        <v>-1.1764705882352899E-2</v>
      </c>
      <c r="H194" s="110">
        <f t="shared" si="48"/>
        <v>0</v>
      </c>
      <c r="I194" s="110">
        <f t="shared" si="48"/>
        <v>-2.7807678507355549E-2</v>
      </c>
      <c r="J194" s="110">
        <f t="shared" si="48"/>
        <v>0</v>
      </c>
      <c r="K194" s="110">
        <f t="shared" si="48"/>
        <v>-0.26666666666666672</v>
      </c>
    </row>
    <row r="195" spans="2:14" ht="15" customHeight="1" x14ac:dyDescent="0.2">
      <c r="B195" s="304" t="s">
        <v>329</v>
      </c>
      <c r="C195" s="305"/>
      <c r="D195" s="305"/>
      <c r="E195" s="312">
        <f>'Rate Class Customer Model'!B42-1</f>
        <v>3.317064167835948E-4</v>
      </c>
      <c r="F195" s="110">
        <f>'Rate Class Customer Model'!C42-1</f>
        <v>4.3022167072894746E-3</v>
      </c>
      <c r="G195" s="110">
        <f>'Rate Class Customer Model'!D42-1</f>
        <v>-2.0310209434731608E-2</v>
      </c>
      <c r="H195" s="110">
        <f>'Rate Class Customer Model'!E42-1</f>
        <v>0</v>
      </c>
      <c r="I195" s="110">
        <f>'Rate Class Customer Model'!F42-1</f>
        <v>0</v>
      </c>
      <c r="J195" s="110">
        <f>'Rate Class Customer Model'!G42-1</f>
        <v>-3.4208947077721708E-2</v>
      </c>
      <c r="K195" s="110">
        <f>'Rate Class Customer Model'!H42-1</f>
        <v>-0.15139277172341858</v>
      </c>
    </row>
    <row r="196" spans="2:14" ht="15" customHeight="1" x14ac:dyDescent="0.2">
      <c r="B196" s="69"/>
      <c r="C196" s="69"/>
      <c r="D196" s="69"/>
      <c r="E196" s="311"/>
      <c r="F196" s="311"/>
      <c r="G196" s="311"/>
      <c r="H196" s="311"/>
      <c r="I196" s="311"/>
      <c r="J196" s="311"/>
      <c r="K196" s="311"/>
    </row>
    <row r="197" spans="2:14" ht="15" customHeight="1" x14ac:dyDescent="0.2">
      <c r="B197" s="70" t="s">
        <v>273</v>
      </c>
      <c r="C197" s="70"/>
      <c r="D197" s="70"/>
      <c r="E197" s="83"/>
      <c r="F197" s="83"/>
      <c r="G197" s="83"/>
      <c r="H197" s="83"/>
      <c r="I197" s="83"/>
    </row>
    <row r="198" spans="2:14" ht="33.75" x14ac:dyDescent="0.2">
      <c r="B198" s="422" t="s">
        <v>85</v>
      </c>
      <c r="C198" s="423"/>
      <c r="D198" s="424"/>
      <c r="E198" s="362" t="str">
        <f t="shared" ref="E198:K198" si="49">E177</f>
        <v xml:space="preserve">Residential </v>
      </c>
      <c r="F198" s="362" t="str">
        <f t="shared" si="49"/>
        <v>General Service &lt; 50 kW</v>
      </c>
      <c r="G198" s="362" t="str">
        <f t="shared" si="49"/>
        <v>General Service 50 to 2999 kW</v>
      </c>
      <c r="H198" s="362" t="str">
        <f t="shared" si="49"/>
        <v>General Service 3000 to 4999 kW</v>
      </c>
      <c r="I198" s="362" t="str">
        <f t="shared" si="49"/>
        <v>Street Lighting</v>
      </c>
      <c r="J198" s="362" t="str">
        <f t="shared" si="49"/>
        <v>Sentinel Lighting</v>
      </c>
      <c r="K198" s="362" t="str">
        <f t="shared" si="49"/>
        <v xml:space="preserve">Unmetered Scattered Load </v>
      </c>
      <c r="L198" s="362" t="s">
        <v>12</v>
      </c>
    </row>
    <row r="199" spans="2:14" ht="11.25" x14ac:dyDescent="0.2">
      <c r="B199" s="87" t="s">
        <v>106</v>
      </c>
      <c r="C199" s="87"/>
      <c r="D199" s="88"/>
      <c r="E199" s="88"/>
      <c r="F199" s="88"/>
      <c r="G199" s="88"/>
      <c r="H199" s="88"/>
      <c r="I199" s="88"/>
      <c r="J199" s="89"/>
      <c r="K199" s="76"/>
      <c r="L199" s="126"/>
    </row>
    <row r="200" spans="2:14" ht="11.25" x14ac:dyDescent="0.2">
      <c r="B200" s="413">
        <v>2015</v>
      </c>
      <c r="C200" s="414"/>
      <c r="D200" s="415"/>
      <c r="E200" s="92">
        <f>ROUND(E174*(1+E195),0)</f>
        <v>21124</v>
      </c>
      <c r="F200" s="92">
        <f t="shared" ref="F200:J200" si="50">ROUND(F174*(1+F195),0)</f>
        <v>2668</v>
      </c>
      <c r="G200" s="92">
        <f t="shared" si="50"/>
        <v>247</v>
      </c>
      <c r="H200" s="92">
        <v>1</v>
      </c>
      <c r="I200" s="92">
        <f t="shared" si="50"/>
        <v>5419</v>
      </c>
      <c r="J200" s="92">
        <f t="shared" si="50"/>
        <v>412</v>
      </c>
      <c r="K200" s="92">
        <v>7</v>
      </c>
      <c r="L200" s="73">
        <f>SUM(E200:K200)</f>
        <v>29878</v>
      </c>
      <c r="N200" s="75"/>
    </row>
    <row r="201" spans="2:14" ht="15" customHeight="1" x14ac:dyDescent="0.2">
      <c r="B201" s="69"/>
      <c r="C201" s="69"/>
      <c r="D201" s="69"/>
    </row>
    <row r="202" spans="2:14" ht="15" customHeight="1" x14ac:dyDescent="0.2">
      <c r="B202" s="70" t="s">
        <v>274</v>
      </c>
      <c r="C202" s="70"/>
      <c r="D202" s="70"/>
      <c r="E202" s="83"/>
      <c r="F202" s="83"/>
      <c r="G202" s="83"/>
      <c r="H202" s="83"/>
      <c r="I202" s="83"/>
      <c r="J202" s="83"/>
    </row>
    <row r="203" spans="2:14" ht="33.75" x14ac:dyDescent="0.2">
      <c r="B203" s="360" t="s">
        <v>85</v>
      </c>
      <c r="C203" s="361"/>
      <c r="D203" s="361"/>
      <c r="E203" s="362" t="str">
        <f t="shared" ref="E203:K203" si="51">E198</f>
        <v xml:space="preserve">Residential </v>
      </c>
      <c r="F203" s="362" t="str">
        <f t="shared" si="51"/>
        <v>General Service &lt; 50 kW</v>
      </c>
      <c r="G203" s="362" t="str">
        <f t="shared" si="51"/>
        <v>General Service 50 to 2999 kW</v>
      </c>
      <c r="H203" s="362" t="str">
        <f t="shared" si="51"/>
        <v>General Service 3000 to 4999 kW</v>
      </c>
      <c r="I203" s="362" t="str">
        <f t="shared" si="51"/>
        <v>Street Lighting</v>
      </c>
      <c r="J203" s="362" t="str">
        <f t="shared" si="51"/>
        <v>Sentinel Lighting</v>
      </c>
      <c r="K203" s="362" t="str">
        <f t="shared" si="51"/>
        <v xml:space="preserve">Unmetered Scattered Load </v>
      </c>
      <c r="L203"/>
    </row>
    <row r="204" spans="2:14" ht="12.75" x14ac:dyDescent="0.2">
      <c r="B204" s="115" t="s">
        <v>107</v>
      </c>
      <c r="C204" s="116"/>
      <c r="D204" s="116"/>
      <c r="E204" s="116"/>
      <c r="F204" s="116"/>
      <c r="G204" s="116"/>
      <c r="H204" s="116"/>
      <c r="I204" s="116"/>
      <c r="J204" s="116"/>
      <c r="K204" s="117"/>
      <c r="L204"/>
    </row>
    <row r="205" spans="2:14" ht="15" customHeight="1" x14ac:dyDescent="0.2">
      <c r="B205" s="122">
        <f t="shared" ref="B205:B220" si="52">B179</f>
        <v>1999</v>
      </c>
      <c r="C205" s="123"/>
      <c r="D205" s="123"/>
      <c r="E205" s="124">
        <f t="shared" ref="E205:K214" si="53">E79</f>
        <v>10454.406478902301</v>
      </c>
      <c r="F205" s="124">
        <f t="shared" si="53"/>
        <v>37367.055315387712</v>
      </c>
      <c r="G205" s="124">
        <f t="shared" si="53"/>
        <v>824067.16388127848</v>
      </c>
      <c r="H205" s="124">
        <f t="shared" si="53"/>
        <v>23610566.446666669</v>
      </c>
      <c r="I205" s="124">
        <f t="shared" si="53"/>
        <v>769.75879999999995</v>
      </c>
      <c r="J205" s="124">
        <f t="shared" si="53"/>
        <v>1647.3229706390327</v>
      </c>
      <c r="K205" s="124">
        <f t="shared" si="53"/>
        <v>20079.506666666668</v>
      </c>
      <c r="L205"/>
    </row>
    <row r="206" spans="2:14" ht="15" customHeight="1" x14ac:dyDescent="0.2">
      <c r="B206" s="122">
        <f t="shared" si="52"/>
        <v>2000</v>
      </c>
      <c r="C206" s="123"/>
      <c r="D206" s="123"/>
      <c r="E206" s="124">
        <f t="shared" si="53"/>
        <v>10278.268013663448</v>
      </c>
      <c r="F206" s="124">
        <f t="shared" si="53"/>
        <v>37424.135334133658</v>
      </c>
      <c r="G206" s="124">
        <f t="shared" si="53"/>
        <v>828564.94030567689</v>
      </c>
      <c r="H206" s="124">
        <f t="shared" si="53"/>
        <v>24339657.503333334</v>
      </c>
      <c r="I206" s="124">
        <f t="shared" si="53"/>
        <v>623.98754621521698</v>
      </c>
      <c r="J206" s="124">
        <f t="shared" si="53"/>
        <v>1455.1034715025908</v>
      </c>
      <c r="K206" s="124">
        <f t="shared" si="53"/>
        <v>18535.073809523808</v>
      </c>
    </row>
    <row r="207" spans="2:14" ht="15" customHeight="1" x14ac:dyDescent="0.2">
      <c r="B207" s="122">
        <f t="shared" si="52"/>
        <v>2001</v>
      </c>
      <c r="C207" s="123"/>
      <c r="D207" s="123"/>
      <c r="E207" s="124">
        <f t="shared" si="53"/>
        <v>10102.160500381777</v>
      </c>
      <c r="F207" s="124">
        <f t="shared" si="53"/>
        <v>36090.280426614481</v>
      </c>
      <c r="G207" s="124">
        <f t="shared" si="53"/>
        <v>793622.40963114752</v>
      </c>
      <c r="H207" s="124">
        <f t="shared" si="53"/>
        <v>23335059.050000001</v>
      </c>
      <c r="I207" s="124">
        <f t="shared" si="53"/>
        <v>614.43851138353762</v>
      </c>
      <c r="J207" s="124">
        <f t="shared" si="53"/>
        <v>1324.5060449050086</v>
      </c>
      <c r="K207" s="124">
        <f t="shared" si="53"/>
        <v>18635.001904761903</v>
      </c>
    </row>
    <row r="208" spans="2:14" ht="15" customHeight="1" x14ac:dyDescent="0.2">
      <c r="B208" s="122">
        <f t="shared" si="52"/>
        <v>2002</v>
      </c>
      <c r="C208" s="123"/>
      <c r="D208" s="123"/>
      <c r="E208" s="124">
        <f t="shared" si="53"/>
        <v>10398.103306463727</v>
      </c>
      <c r="F208" s="124">
        <f t="shared" si="53"/>
        <v>35049.558669008591</v>
      </c>
      <c r="G208" s="124">
        <f t="shared" si="53"/>
        <v>788257.28607843129</v>
      </c>
      <c r="H208" s="124">
        <f t="shared" si="53"/>
        <v>19646518.809999999</v>
      </c>
      <c r="I208" s="124">
        <f t="shared" si="53"/>
        <v>597.41174957442786</v>
      </c>
      <c r="J208" s="124">
        <f t="shared" si="53"/>
        <v>1193.9084628670121</v>
      </c>
      <c r="K208" s="124">
        <f t="shared" si="53"/>
        <v>18585.055714285714</v>
      </c>
    </row>
    <row r="209" spans="2:11" ht="15" customHeight="1" x14ac:dyDescent="0.2">
      <c r="B209" s="122">
        <f t="shared" si="52"/>
        <v>2003</v>
      </c>
      <c r="C209" s="123"/>
      <c r="D209" s="123"/>
      <c r="E209" s="124">
        <f t="shared" si="53"/>
        <v>10617.947441848757</v>
      </c>
      <c r="F209" s="124">
        <f t="shared" si="53"/>
        <v>34739.008485202496</v>
      </c>
      <c r="G209" s="124">
        <f t="shared" si="53"/>
        <v>796829.69118577079</v>
      </c>
      <c r="H209" s="124">
        <f t="shared" si="53"/>
        <v>28283549.34</v>
      </c>
      <c r="I209" s="124">
        <f t="shared" si="53"/>
        <v>623.59879097972328</v>
      </c>
      <c r="J209" s="124">
        <f t="shared" si="53"/>
        <v>926.50396255850239</v>
      </c>
      <c r="K209" s="124">
        <f t="shared" si="53"/>
        <v>17539.010476190473</v>
      </c>
    </row>
    <row r="210" spans="2:11" ht="15" customHeight="1" x14ac:dyDescent="0.2">
      <c r="B210" s="308">
        <f t="shared" si="52"/>
        <v>2004</v>
      </c>
      <c r="C210" s="309"/>
      <c r="D210" s="309"/>
      <c r="E210" s="124">
        <f t="shared" si="53"/>
        <v>10558.440072122608</v>
      </c>
      <c r="F210" s="124">
        <f t="shared" si="53"/>
        <v>34637.586370284836</v>
      </c>
      <c r="G210" s="124">
        <f t="shared" si="53"/>
        <v>803425.81434782606</v>
      </c>
      <c r="H210" s="124">
        <f t="shared" si="53"/>
        <v>29191410.295000002</v>
      </c>
      <c r="I210" s="124">
        <f t="shared" si="53"/>
        <v>626.38537400145242</v>
      </c>
      <c r="J210" s="124">
        <f t="shared" si="53"/>
        <v>1099.2993728222996</v>
      </c>
      <c r="K210" s="124">
        <f t="shared" si="53"/>
        <v>18469.460476190474</v>
      </c>
    </row>
    <row r="211" spans="2:11" ht="15" customHeight="1" x14ac:dyDescent="0.2">
      <c r="B211" s="308">
        <f t="shared" si="52"/>
        <v>2005</v>
      </c>
      <c r="C211" s="309"/>
      <c r="D211" s="309"/>
      <c r="E211" s="124">
        <f t="shared" si="53"/>
        <v>10624.06731826087</v>
      </c>
      <c r="F211" s="124">
        <f t="shared" si="53"/>
        <v>35176.93931021195</v>
      </c>
      <c r="G211" s="124">
        <f t="shared" si="53"/>
        <v>825993.11662745103</v>
      </c>
      <c r="H211" s="124">
        <f t="shared" si="53"/>
        <v>28528367.91</v>
      </c>
      <c r="I211" s="124">
        <f t="shared" si="53"/>
        <v>594.42052041922659</v>
      </c>
      <c r="J211" s="124">
        <f t="shared" si="53"/>
        <v>1111.1391531531531</v>
      </c>
      <c r="K211" s="124">
        <f t="shared" si="53"/>
        <v>17689.598571428571</v>
      </c>
    </row>
    <row r="212" spans="2:11" ht="15" customHeight="1" x14ac:dyDescent="0.2">
      <c r="B212" s="308">
        <f t="shared" si="52"/>
        <v>2006</v>
      </c>
      <c r="C212" s="309"/>
      <c r="D212" s="309"/>
      <c r="E212" s="124">
        <f t="shared" si="53"/>
        <v>10080.252220384335</v>
      </c>
      <c r="F212" s="124">
        <f t="shared" si="53"/>
        <v>33672.680250186706</v>
      </c>
      <c r="G212" s="124">
        <f t="shared" si="53"/>
        <v>802780.72709302325</v>
      </c>
      <c r="H212" s="124">
        <f t="shared" si="53"/>
        <v>25801505.905000001</v>
      </c>
      <c r="I212" s="124">
        <f t="shared" si="53"/>
        <v>594.9799600725953</v>
      </c>
      <c r="J212" s="124">
        <f t="shared" si="53"/>
        <v>953.7337458745875</v>
      </c>
      <c r="K212" s="124">
        <f t="shared" si="53"/>
        <v>17606.446666666667</v>
      </c>
    </row>
    <row r="213" spans="2:11" ht="15" customHeight="1" x14ac:dyDescent="0.2">
      <c r="B213" s="308">
        <f t="shared" si="52"/>
        <v>2007</v>
      </c>
      <c r="C213" s="309"/>
      <c r="D213" s="309"/>
      <c r="E213" s="124">
        <f t="shared" si="53"/>
        <v>10283.301207179387</v>
      </c>
      <c r="F213" s="124">
        <f t="shared" si="53"/>
        <v>34151.181313785222</v>
      </c>
      <c r="G213" s="124">
        <f t="shared" si="53"/>
        <v>799462.53558052436</v>
      </c>
      <c r="H213" s="124">
        <f t="shared" si="53"/>
        <v>24963353.895</v>
      </c>
      <c r="I213" s="124">
        <f t="shared" si="53"/>
        <v>597.43142392482832</v>
      </c>
      <c r="J213" s="124">
        <f t="shared" si="53"/>
        <v>985.26105719237432</v>
      </c>
      <c r="K213" s="124">
        <f t="shared" si="53"/>
        <v>17600.702857142856</v>
      </c>
    </row>
    <row r="214" spans="2:11" ht="15" customHeight="1" x14ac:dyDescent="0.2">
      <c r="B214" s="308">
        <f t="shared" si="52"/>
        <v>2008</v>
      </c>
      <c r="C214" s="309"/>
      <c r="D214" s="309"/>
      <c r="E214" s="124">
        <f t="shared" si="53"/>
        <v>10300.784885580768</v>
      </c>
      <c r="F214" s="124">
        <f t="shared" si="53"/>
        <v>33915.761009174312</v>
      </c>
      <c r="G214" s="124">
        <f t="shared" si="53"/>
        <v>790146.56164835172</v>
      </c>
      <c r="H214" s="124">
        <f t="shared" si="53"/>
        <v>22264051.890000001</v>
      </c>
      <c r="I214" s="124">
        <f t="shared" si="53"/>
        <v>599.54971351351355</v>
      </c>
      <c r="J214" s="124">
        <f t="shared" si="53"/>
        <v>1089.5070825335893</v>
      </c>
      <c r="K214" s="124">
        <f t="shared" si="53"/>
        <v>16727.05761904762</v>
      </c>
    </row>
    <row r="215" spans="2:11" ht="15" customHeight="1" x14ac:dyDescent="0.2">
      <c r="B215" s="308">
        <f t="shared" si="52"/>
        <v>2009</v>
      </c>
      <c r="C215" s="309"/>
      <c r="D215" s="309"/>
      <c r="E215" s="124">
        <f t="shared" ref="E215:K220" si="54">E89</f>
        <v>10235.62406235012</v>
      </c>
      <c r="F215" s="124">
        <f t="shared" si="54"/>
        <v>33246.328033472804</v>
      </c>
      <c r="G215" s="124">
        <f t="shared" si="54"/>
        <v>766620.45824817521</v>
      </c>
      <c r="H215" s="124">
        <f t="shared" si="54"/>
        <v>18908695.885000002</v>
      </c>
      <c r="I215" s="124">
        <f t="shared" si="54"/>
        <v>596.43849398671694</v>
      </c>
      <c r="J215" s="124">
        <f t="shared" si="54"/>
        <v>1077.1155598455598</v>
      </c>
      <c r="K215" s="124">
        <f t="shared" si="54"/>
        <v>14850.994285714285</v>
      </c>
    </row>
    <row r="216" spans="2:11" ht="15" customHeight="1" x14ac:dyDescent="0.2">
      <c r="B216" s="308">
        <f t="shared" si="52"/>
        <v>2010</v>
      </c>
      <c r="C216" s="309"/>
      <c r="D216" s="309"/>
      <c r="E216" s="124">
        <f t="shared" si="54"/>
        <v>9857.5371205611373</v>
      </c>
      <c r="F216" s="124">
        <f t="shared" si="54"/>
        <v>32298.556426130068</v>
      </c>
      <c r="G216" s="124">
        <f t="shared" si="54"/>
        <v>855158.87223048322</v>
      </c>
      <c r="H216" s="124">
        <f t="shared" si="54"/>
        <v>20514051.905000001</v>
      </c>
      <c r="I216" s="124">
        <f t="shared" si="54"/>
        <v>596.58832196697767</v>
      </c>
      <c r="J216" s="124">
        <f t="shared" si="54"/>
        <v>1118.6789194499017</v>
      </c>
      <c r="K216" s="124">
        <f t="shared" si="54"/>
        <v>8690.7042105263154</v>
      </c>
    </row>
    <row r="217" spans="2:11" ht="15" customHeight="1" x14ac:dyDescent="0.2">
      <c r="B217" s="308">
        <f t="shared" si="52"/>
        <v>2011</v>
      </c>
      <c r="C217" s="309"/>
      <c r="D217" s="309"/>
      <c r="E217" s="124">
        <f t="shared" si="54"/>
        <v>9829.2606290292206</v>
      </c>
      <c r="F217" s="124">
        <f t="shared" si="54"/>
        <v>32414.465871140888</v>
      </c>
      <c r="G217" s="124">
        <f t="shared" si="54"/>
        <v>864430.47033582116</v>
      </c>
      <c r="H217" s="124">
        <f t="shared" si="54"/>
        <v>18543425.905000001</v>
      </c>
      <c r="I217" s="124">
        <f t="shared" si="54"/>
        <v>574.83363293864375</v>
      </c>
      <c r="J217" s="124">
        <f t="shared" si="54"/>
        <v>1016.1690295358651</v>
      </c>
      <c r="K217" s="124">
        <f t="shared" si="54"/>
        <v>4670.7461111111106</v>
      </c>
    </row>
    <row r="218" spans="2:11" ht="15" customHeight="1" x14ac:dyDescent="0.2">
      <c r="B218" s="308">
        <f t="shared" si="52"/>
        <v>2012</v>
      </c>
      <c r="C218" s="309"/>
      <c r="D218" s="309"/>
      <c r="E218" s="124">
        <f t="shared" si="54"/>
        <v>9519.5228361962854</v>
      </c>
      <c r="F218" s="124">
        <f t="shared" si="54"/>
        <v>32116.699644612476</v>
      </c>
      <c r="G218" s="124">
        <f t="shared" si="54"/>
        <v>880663.20059055113</v>
      </c>
      <c r="H218" s="124">
        <f t="shared" si="54"/>
        <v>17861385.91</v>
      </c>
      <c r="I218" s="124">
        <f t="shared" si="54"/>
        <v>500.58099928238255</v>
      </c>
      <c r="J218" s="124">
        <f t="shared" si="54"/>
        <v>1091.1845413870246</v>
      </c>
      <c r="K218" s="124">
        <f t="shared" si="54"/>
        <v>5222.0288235294101</v>
      </c>
    </row>
    <row r="219" spans="2:11" ht="15" customHeight="1" x14ac:dyDescent="0.2">
      <c r="B219" s="308">
        <f t="shared" si="52"/>
        <v>2013</v>
      </c>
      <c r="C219" s="309"/>
      <c r="D219" s="309"/>
      <c r="E219" s="124">
        <f t="shared" si="54"/>
        <v>9844.9232167898499</v>
      </c>
      <c r="F219" s="124">
        <f t="shared" si="54"/>
        <v>32132.627674594391</v>
      </c>
      <c r="G219" s="124">
        <f t="shared" si="54"/>
        <v>849468.44552941155</v>
      </c>
      <c r="H219" s="124">
        <f t="shared" si="54"/>
        <v>17887517.895</v>
      </c>
      <c r="I219" s="124">
        <f t="shared" si="54"/>
        <v>421.28959992823826</v>
      </c>
      <c r="J219" s="124">
        <f t="shared" si="54"/>
        <v>1039.6970023419219</v>
      </c>
      <c r="K219" s="124">
        <f t="shared" si="54"/>
        <v>5938.9446666666654</v>
      </c>
    </row>
    <row r="220" spans="2:11" ht="15" customHeight="1" x14ac:dyDescent="0.2">
      <c r="B220" s="376">
        <f t="shared" si="52"/>
        <v>2014</v>
      </c>
      <c r="C220" s="377"/>
      <c r="D220" s="377"/>
      <c r="E220" s="124">
        <f t="shared" si="54"/>
        <v>9752.8095728560093</v>
      </c>
      <c r="F220" s="124">
        <f t="shared" si="54"/>
        <v>32129.866270229926</v>
      </c>
      <c r="G220" s="124">
        <f t="shared" si="54"/>
        <v>862048.36285714281</v>
      </c>
      <c r="H220" s="124">
        <f t="shared" si="54"/>
        <v>13463277.910000002</v>
      </c>
      <c r="I220" s="124">
        <f t="shared" si="54"/>
        <v>373.97414467613953</v>
      </c>
      <c r="J220" s="124">
        <f t="shared" si="54"/>
        <v>992.95700234192145</v>
      </c>
      <c r="K220" s="124">
        <f t="shared" si="54"/>
        <v>4600.8681818181803</v>
      </c>
    </row>
    <row r="221" spans="2:11" ht="15" customHeight="1" x14ac:dyDescent="0.2">
      <c r="B221" s="69"/>
      <c r="C221" s="69"/>
      <c r="D221" s="69"/>
    </row>
    <row r="222" spans="2:11" ht="15" customHeight="1" x14ac:dyDescent="0.2">
      <c r="B222" s="70" t="s">
        <v>275</v>
      </c>
      <c r="C222" s="70"/>
      <c r="D222" s="70"/>
      <c r="E222" s="83"/>
      <c r="F222" s="83"/>
      <c r="G222" s="83"/>
      <c r="H222" s="83"/>
      <c r="I222" s="83"/>
    </row>
    <row r="223" spans="2:11" ht="33.75" x14ac:dyDescent="0.2">
      <c r="B223" s="360" t="s">
        <v>85</v>
      </c>
      <c r="C223" s="361"/>
      <c r="D223" s="361"/>
      <c r="E223" s="362" t="str">
        <f>E203</f>
        <v xml:space="preserve">Residential </v>
      </c>
      <c r="F223" s="362" t="str">
        <f t="shared" ref="F223:K223" si="55">F203</f>
        <v>General Service &lt; 50 kW</v>
      </c>
      <c r="G223" s="362" t="str">
        <f t="shared" si="55"/>
        <v>General Service 50 to 2999 kW</v>
      </c>
      <c r="H223" s="362" t="str">
        <f t="shared" si="55"/>
        <v>General Service 3000 to 4999 kW</v>
      </c>
      <c r="I223" s="362" t="str">
        <f t="shared" si="55"/>
        <v>Street Lighting</v>
      </c>
      <c r="J223" s="362" t="str">
        <f t="shared" si="55"/>
        <v>Sentinel Lighting</v>
      </c>
      <c r="K223" s="362" t="str">
        <f t="shared" si="55"/>
        <v xml:space="preserve">Unmetered Scattered Load </v>
      </c>
    </row>
    <row r="224" spans="2:11" ht="15" customHeight="1" x14ac:dyDescent="0.2">
      <c r="B224" s="115" t="s">
        <v>108</v>
      </c>
      <c r="C224" s="116"/>
      <c r="D224" s="116"/>
      <c r="E224" s="116"/>
      <c r="F224" s="116"/>
      <c r="G224" s="116"/>
      <c r="H224" s="116"/>
      <c r="I224" s="116"/>
      <c r="J224" s="116"/>
      <c r="K224" s="117"/>
    </row>
    <row r="225" spans="2:11" ht="15" customHeight="1" x14ac:dyDescent="0.2">
      <c r="B225" s="122">
        <f t="shared" ref="B225:B240" si="56">B205</f>
        <v>1999</v>
      </c>
      <c r="C225" s="123"/>
      <c r="D225" s="123"/>
      <c r="E225" s="125"/>
      <c r="F225" s="125"/>
      <c r="G225" s="125"/>
      <c r="H225" s="125"/>
      <c r="I225" s="125"/>
      <c r="J225" s="125"/>
      <c r="K225" s="125"/>
    </row>
    <row r="226" spans="2:11" ht="15" customHeight="1" x14ac:dyDescent="0.2">
      <c r="B226" s="90">
        <f t="shared" si="56"/>
        <v>2000</v>
      </c>
      <c r="C226" s="123"/>
      <c r="D226" s="123"/>
      <c r="E226" s="110">
        <f t="shared" ref="E226:K226" si="57">E206/E205-1</f>
        <v>-1.6848251079036647E-2</v>
      </c>
      <c r="F226" s="110">
        <f t="shared" si="57"/>
        <v>1.5275492881141606E-3</v>
      </c>
      <c r="G226" s="110">
        <f t="shared" si="57"/>
        <v>5.458021653495182E-3</v>
      </c>
      <c r="H226" s="110">
        <f t="shared" si="57"/>
        <v>3.0879862976332717E-2</v>
      </c>
      <c r="I226" s="110">
        <f t="shared" si="57"/>
        <v>-0.189372636967298</v>
      </c>
      <c r="J226" s="110">
        <f t="shared" si="57"/>
        <v>-0.11668598238624439</v>
      </c>
      <c r="K226" s="110">
        <f t="shared" si="57"/>
        <v>-7.6915876608996681E-2</v>
      </c>
    </row>
    <row r="227" spans="2:11" ht="15" customHeight="1" x14ac:dyDescent="0.2">
      <c r="B227" s="90">
        <f t="shared" si="56"/>
        <v>2001</v>
      </c>
      <c r="C227" s="123"/>
      <c r="D227" s="123"/>
      <c r="E227" s="110">
        <f t="shared" ref="E227:K227" si="58">E207/E206-1</f>
        <v>-1.7133967809319861E-2</v>
      </c>
      <c r="F227" s="110">
        <f t="shared" si="58"/>
        <v>-3.5641569153438746E-2</v>
      </c>
      <c r="G227" s="110">
        <f t="shared" si="58"/>
        <v>-4.2172350017173343E-2</v>
      </c>
      <c r="H227" s="110">
        <f t="shared" si="58"/>
        <v>-4.1274140903410528E-2</v>
      </c>
      <c r="I227" s="110">
        <f t="shared" si="58"/>
        <v>-1.5303245857387404E-2</v>
      </c>
      <c r="J227" s="110">
        <f t="shared" si="58"/>
        <v>-8.9751298897474796E-2</v>
      </c>
      <c r="K227" s="110">
        <f t="shared" si="58"/>
        <v>5.3912974000001057E-3</v>
      </c>
    </row>
    <row r="228" spans="2:11" ht="15" customHeight="1" x14ac:dyDescent="0.2">
      <c r="B228" s="90">
        <f t="shared" si="56"/>
        <v>2002</v>
      </c>
      <c r="C228" s="123"/>
      <c r="D228" s="123"/>
      <c r="E228" s="110">
        <f t="shared" ref="E228:K228" si="59">E208/E207-1</f>
        <v>2.9295001407942944E-2</v>
      </c>
      <c r="F228" s="110">
        <f t="shared" si="59"/>
        <v>-2.883662153088784E-2</v>
      </c>
      <c r="G228" s="110">
        <f t="shared" si="59"/>
        <v>-6.7602974507862124E-3</v>
      </c>
      <c r="H228" s="110">
        <f t="shared" si="59"/>
        <v>-0.15806860535885392</v>
      </c>
      <c r="I228" s="110">
        <f t="shared" si="59"/>
        <v>-2.7711091498432316E-2</v>
      </c>
      <c r="J228" s="110">
        <f t="shared" si="59"/>
        <v>-9.8600970935819876E-2</v>
      </c>
      <c r="K228" s="110">
        <f t="shared" si="59"/>
        <v>-2.6802353298083226E-3</v>
      </c>
    </row>
    <row r="229" spans="2:11" ht="15" customHeight="1" x14ac:dyDescent="0.2">
      <c r="B229" s="90">
        <f t="shared" si="56"/>
        <v>2003</v>
      </c>
      <c r="C229" s="123"/>
      <c r="D229" s="123"/>
      <c r="E229" s="110">
        <f t="shared" ref="E229:K229" si="60">E209/E208-1</f>
        <v>2.1142715061156281E-2</v>
      </c>
      <c r="F229" s="110">
        <f t="shared" si="60"/>
        <v>-8.8603165232060688E-3</v>
      </c>
      <c r="G229" s="110">
        <f t="shared" si="60"/>
        <v>1.0875135896284638E-2</v>
      </c>
      <c r="H229" s="110">
        <f t="shared" si="60"/>
        <v>0.43962142166396356</v>
      </c>
      <c r="I229" s="110">
        <f t="shared" si="60"/>
        <v>4.3834158641757659E-2</v>
      </c>
      <c r="J229" s="110">
        <f t="shared" si="60"/>
        <v>-0.22397403873524224</v>
      </c>
      <c r="K229" s="110">
        <f t="shared" si="60"/>
        <v>-5.6284213196691191E-2</v>
      </c>
    </row>
    <row r="230" spans="2:11" ht="15" customHeight="1" x14ac:dyDescent="0.2">
      <c r="B230" s="90">
        <f t="shared" si="56"/>
        <v>2004</v>
      </c>
      <c r="C230" s="85"/>
      <c r="D230" s="85"/>
      <c r="E230" s="110">
        <f t="shared" ref="E230:K230" si="61">E210/E209-1</f>
        <v>-5.6044136639451514E-3</v>
      </c>
      <c r="F230" s="110">
        <f t="shared" si="61"/>
        <v>-2.91954547179607E-3</v>
      </c>
      <c r="G230" s="110">
        <f t="shared" si="61"/>
        <v>8.2779585587975379E-3</v>
      </c>
      <c r="H230" s="110">
        <f t="shared" si="61"/>
        <v>3.2098551143157295E-2</v>
      </c>
      <c r="I230" s="110">
        <f t="shared" si="61"/>
        <v>4.4685510331909928E-3</v>
      </c>
      <c r="J230" s="110">
        <f t="shared" si="61"/>
        <v>0.18650261331492834</v>
      </c>
      <c r="K230" s="110">
        <f t="shared" si="61"/>
        <v>5.3050313258157011E-2</v>
      </c>
    </row>
    <row r="231" spans="2:11" ht="15" customHeight="1" x14ac:dyDescent="0.2">
      <c r="B231" s="90">
        <f t="shared" si="56"/>
        <v>2005</v>
      </c>
      <c r="C231" s="85"/>
      <c r="D231" s="85"/>
      <c r="E231" s="110">
        <f t="shared" ref="E231:K231" si="62">E211/E210-1</f>
        <v>6.215619512918158E-3</v>
      </c>
      <c r="F231" s="110">
        <f t="shared" si="62"/>
        <v>1.5571319957496277E-2</v>
      </c>
      <c r="G231" s="110">
        <f t="shared" si="62"/>
        <v>2.8088843893998794E-2</v>
      </c>
      <c r="H231" s="110">
        <f t="shared" si="62"/>
        <v>-2.2713612610678502E-2</v>
      </c>
      <c r="I231" s="110">
        <f t="shared" si="62"/>
        <v>-5.1030651271483429E-2</v>
      </c>
      <c r="J231" s="110">
        <f t="shared" si="62"/>
        <v>1.0770296630349563E-2</v>
      </c>
      <c r="K231" s="110">
        <f t="shared" si="62"/>
        <v>-4.2224400965434006E-2</v>
      </c>
    </row>
    <row r="232" spans="2:11" ht="15" customHeight="1" x14ac:dyDescent="0.2">
      <c r="B232" s="90">
        <f t="shared" si="56"/>
        <v>2006</v>
      </c>
      <c r="C232" s="85"/>
      <c r="D232" s="85"/>
      <c r="E232" s="110">
        <f t="shared" ref="E232:K232" si="63">E212/E211-1</f>
        <v>-5.1187090742715324E-2</v>
      </c>
      <c r="F232" s="110">
        <f t="shared" si="63"/>
        <v>-4.276264761865034E-2</v>
      </c>
      <c r="G232" s="110">
        <f t="shared" si="63"/>
        <v>-2.8102400694577812E-2</v>
      </c>
      <c r="H232" s="110">
        <f t="shared" si="63"/>
        <v>-9.5584227376854458E-2</v>
      </c>
      <c r="I232" s="110">
        <f t="shared" si="63"/>
        <v>9.411513131716287E-4</v>
      </c>
      <c r="J232" s="110">
        <f t="shared" si="63"/>
        <v>-0.14166129132601069</v>
      </c>
      <c r="K232" s="110">
        <f t="shared" si="63"/>
        <v>-4.7006100464148659E-3</v>
      </c>
    </row>
    <row r="233" spans="2:11" ht="15" customHeight="1" x14ac:dyDescent="0.2">
      <c r="B233" s="90">
        <f t="shared" si="56"/>
        <v>2007</v>
      </c>
      <c r="C233" s="85"/>
      <c r="D233" s="85"/>
      <c r="E233" s="110">
        <f t="shared" ref="E233:K233" si="64">E213/E212-1</f>
        <v>2.0143244668466398E-2</v>
      </c>
      <c r="F233" s="110">
        <f t="shared" si="64"/>
        <v>1.421036460546854E-2</v>
      </c>
      <c r="G233" s="110">
        <f t="shared" si="64"/>
        <v>-4.1333721656653388E-3</v>
      </c>
      <c r="H233" s="110">
        <f t="shared" si="64"/>
        <v>-3.248461594009433E-2</v>
      </c>
      <c r="I233" s="110">
        <f t="shared" si="64"/>
        <v>4.1202460868328128E-3</v>
      </c>
      <c r="J233" s="110">
        <f t="shared" si="64"/>
        <v>3.3056722019284113E-2</v>
      </c>
      <c r="K233" s="110">
        <f t="shared" si="64"/>
        <v>-3.2623331854264581E-4</v>
      </c>
    </row>
    <row r="234" spans="2:11" ht="15" customHeight="1" x14ac:dyDescent="0.2">
      <c r="B234" s="90">
        <f t="shared" si="56"/>
        <v>2008</v>
      </c>
      <c r="C234" s="85"/>
      <c r="D234" s="85"/>
      <c r="E234" s="110">
        <f t="shared" ref="E234:K234" si="65">E214/E213-1</f>
        <v>1.7002009422006914E-3</v>
      </c>
      <c r="F234" s="110">
        <f t="shared" si="65"/>
        <v>-6.8934747072975089E-3</v>
      </c>
      <c r="G234" s="110">
        <f t="shared" si="65"/>
        <v>-1.1652796119342779E-2</v>
      </c>
      <c r="H234" s="110">
        <f t="shared" si="65"/>
        <v>-0.10813058278762178</v>
      </c>
      <c r="I234" s="110">
        <f t="shared" si="65"/>
        <v>3.5456614832363176E-3</v>
      </c>
      <c r="J234" s="110">
        <f t="shared" si="65"/>
        <v>0.10580548635330933</v>
      </c>
      <c r="K234" s="110">
        <f t="shared" si="65"/>
        <v>-4.9636951727793477E-2</v>
      </c>
    </row>
    <row r="235" spans="2:11" ht="15" customHeight="1" x14ac:dyDescent="0.2">
      <c r="B235" s="122">
        <f t="shared" si="56"/>
        <v>2009</v>
      </c>
      <c r="C235" s="309"/>
      <c r="D235" s="309"/>
      <c r="E235" s="110">
        <f t="shared" ref="E235:K235" si="66">E215/E214-1</f>
        <v>-6.32581147499367E-3</v>
      </c>
      <c r="F235" s="110">
        <f t="shared" si="66"/>
        <v>-1.9738108648672981E-2</v>
      </c>
      <c r="G235" s="110">
        <f t="shared" si="66"/>
        <v>-2.9774353951623755E-2</v>
      </c>
      <c r="H235" s="110">
        <f t="shared" si="66"/>
        <v>-0.15070733851941265</v>
      </c>
      <c r="I235" s="110">
        <f t="shared" si="66"/>
        <v>-5.189260300974996E-3</v>
      </c>
      <c r="J235" s="110">
        <f t="shared" si="66"/>
        <v>-1.1373512744142666E-2</v>
      </c>
      <c r="K235" s="110">
        <f t="shared" si="66"/>
        <v>-0.11215740245893602</v>
      </c>
    </row>
    <row r="236" spans="2:11" ht="15" customHeight="1" x14ac:dyDescent="0.2">
      <c r="B236" s="308">
        <f t="shared" si="56"/>
        <v>2010</v>
      </c>
      <c r="C236" s="309"/>
      <c r="D236" s="309"/>
      <c r="E236" s="110">
        <f t="shared" ref="E236:K236" si="67">E216/E215-1</f>
        <v>-3.6938338052069253E-2</v>
      </c>
      <c r="F236" s="110">
        <f t="shared" si="67"/>
        <v>-2.8507557477881695E-2</v>
      </c>
      <c r="G236" s="110">
        <f t="shared" si="67"/>
        <v>0.11549184871041596</v>
      </c>
      <c r="H236" s="110">
        <f t="shared" si="67"/>
        <v>8.490040930181264E-2</v>
      </c>
      <c r="I236" s="110">
        <f t="shared" si="67"/>
        <v>2.5120441046522224E-4</v>
      </c>
      <c r="J236" s="110">
        <f t="shared" si="67"/>
        <v>3.8587651273277901E-2</v>
      </c>
      <c r="K236" s="110">
        <f t="shared" si="67"/>
        <v>-0.41480657501254159</v>
      </c>
    </row>
    <row r="237" spans="2:11" ht="15" customHeight="1" x14ac:dyDescent="0.2">
      <c r="B237" s="308">
        <f t="shared" si="56"/>
        <v>2011</v>
      </c>
      <c r="C237" s="309"/>
      <c r="D237" s="309"/>
      <c r="E237" s="110">
        <f t="shared" ref="E237:K237" si="68">E217/E216-1</f>
        <v>-2.8685148415963369E-3</v>
      </c>
      <c r="F237" s="110">
        <f t="shared" si="68"/>
        <v>3.5886880974360658E-3</v>
      </c>
      <c r="G237" s="110">
        <f t="shared" si="68"/>
        <v>1.0841959788308264E-2</v>
      </c>
      <c r="H237" s="110">
        <f t="shared" si="68"/>
        <v>-9.6062250847658626E-2</v>
      </c>
      <c r="I237" s="110">
        <f t="shared" si="68"/>
        <v>-3.6465160693403775E-2</v>
      </c>
      <c r="J237" s="110">
        <f t="shared" si="68"/>
        <v>-9.1634773956806859E-2</v>
      </c>
      <c r="K237" s="110">
        <f t="shared" si="68"/>
        <v>-0.4625583844570581</v>
      </c>
    </row>
    <row r="238" spans="2:11" ht="15" customHeight="1" x14ac:dyDescent="0.2">
      <c r="B238" s="308">
        <f t="shared" si="56"/>
        <v>2012</v>
      </c>
      <c r="C238" s="309"/>
      <c r="D238" s="309"/>
      <c r="E238" s="110">
        <f t="shared" ref="E238:K238" si="69">E218/E217-1</f>
        <v>-3.1511809944094082E-2</v>
      </c>
      <c r="F238" s="110">
        <f t="shared" si="69"/>
        <v>-9.1862141956045029E-3</v>
      </c>
      <c r="G238" s="110">
        <f t="shared" si="69"/>
        <v>1.8778526222500869E-2</v>
      </c>
      <c r="H238" s="110">
        <f t="shared" si="69"/>
        <v>-3.6780689743856732E-2</v>
      </c>
      <c r="I238" s="110">
        <f t="shared" si="69"/>
        <v>-0.12917238902092343</v>
      </c>
      <c r="J238" s="110">
        <f t="shared" si="69"/>
        <v>7.3821883634283658E-2</v>
      </c>
      <c r="K238" s="110">
        <f t="shared" si="69"/>
        <v>0.11802883293246613</v>
      </c>
    </row>
    <row r="239" spans="2:11" ht="15" customHeight="1" x14ac:dyDescent="0.2">
      <c r="B239" s="308">
        <f t="shared" si="56"/>
        <v>2013</v>
      </c>
      <c r="C239" s="309"/>
      <c r="D239" s="309"/>
      <c r="E239" s="110">
        <f t="shared" ref="E239:K240" si="70">E219/E218-1</f>
        <v>3.41824255472436E-2</v>
      </c>
      <c r="F239" s="110">
        <f t="shared" si="70"/>
        <v>4.959423028569887E-4</v>
      </c>
      <c r="G239" s="110">
        <f t="shared" si="70"/>
        <v>-3.5421890048569216E-2</v>
      </c>
      <c r="H239" s="110">
        <f t="shared" si="70"/>
        <v>1.4630435248235152E-3</v>
      </c>
      <c r="I239" s="110">
        <f t="shared" si="70"/>
        <v>-0.15839873960021256</v>
      </c>
      <c r="J239" s="110">
        <f t="shared" si="70"/>
        <v>-4.718499675559551E-2</v>
      </c>
      <c r="K239" s="110">
        <f t="shared" si="70"/>
        <v>0.13728684144885928</v>
      </c>
    </row>
    <row r="240" spans="2:11" ht="15" customHeight="1" x14ac:dyDescent="0.2">
      <c r="B240" s="376">
        <f t="shared" si="56"/>
        <v>2014</v>
      </c>
      <c r="C240" s="377"/>
      <c r="D240" s="377"/>
      <c r="E240" s="110">
        <f t="shared" si="70"/>
        <v>-9.3564613867934687E-3</v>
      </c>
      <c r="F240" s="110">
        <f t="shared" si="70"/>
        <v>-8.5937707691718934E-5</v>
      </c>
      <c r="G240" s="110">
        <f t="shared" si="70"/>
        <v>1.4809163770516554E-2</v>
      </c>
      <c r="H240" s="110">
        <f t="shared" si="70"/>
        <v>-0.2473367188768365</v>
      </c>
      <c r="I240" s="110">
        <f t="shared" si="70"/>
        <v>-0.11231099761341923</v>
      </c>
      <c r="J240" s="110">
        <f t="shared" si="70"/>
        <v>-4.4955405175467922E-2</v>
      </c>
      <c r="K240" s="110">
        <f t="shared" si="70"/>
        <v>-0.22530543050159502</v>
      </c>
    </row>
    <row r="241" spans="2:12" ht="15" customHeight="1" x14ac:dyDescent="0.2">
      <c r="B241" s="308" t="str">
        <f>B195</f>
        <v>Geo Mean - 2012 to 2014</v>
      </c>
      <c r="C241" s="309"/>
      <c r="D241" s="309"/>
      <c r="E241" s="110">
        <f>'Rate Class Energy Model'!H68-1</f>
        <v>-2.5993859794176677E-3</v>
      </c>
      <c r="F241" s="110">
        <f>'Rate Class Energy Model'!I68-1</f>
        <v>-2.9352801794340078E-3</v>
      </c>
      <c r="G241" s="110">
        <f>'Rate Class Energy Model'!J68-1</f>
        <v>-9.1941034696685353E-4</v>
      </c>
      <c r="H241" s="110">
        <f>'Rate Class Energy Model'!K68-1</f>
        <v>-0.10121955985880027</v>
      </c>
      <c r="I241" s="110">
        <f>'Rate Class Energy Model'!L68-1</f>
        <v>-0.13350418584636847</v>
      </c>
      <c r="J241" s="110">
        <f>'Rate Class Energy Model'!M68-1</f>
        <v>-7.6729513274992334E-3</v>
      </c>
      <c r="K241" s="110">
        <f>'Rate Class Energy Model'!N68-1</f>
        <v>-5.0119994344003382E-3</v>
      </c>
    </row>
    <row r="242" spans="2:12" ht="15" customHeight="1" x14ac:dyDescent="0.2">
      <c r="B242" s="69"/>
      <c r="C242" s="69"/>
      <c r="D242" s="69"/>
    </row>
    <row r="243" spans="2:12" ht="15" customHeight="1" x14ac:dyDescent="0.2">
      <c r="B243" s="70" t="s">
        <v>276</v>
      </c>
      <c r="C243" s="70"/>
      <c r="D243" s="70"/>
      <c r="E243" s="83"/>
      <c r="F243" s="83"/>
      <c r="G243" s="83"/>
      <c r="H243" s="83"/>
      <c r="I243" s="83"/>
      <c r="J243" s="83"/>
    </row>
    <row r="244" spans="2:12" ht="33.75" x14ac:dyDescent="0.2">
      <c r="B244" s="364" t="s">
        <v>85</v>
      </c>
      <c r="C244" s="365"/>
      <c r="D244" s="365"/>
      <c r="E244" s="366" t="str">
        <f>E223</f>
        <v xml:space="preserve">Residential </v>
      </c>
      <c r="F244" s="366" t="str">
        <f t="shared" ref="F244:K244" si="71">F223</f>
        <v>General Service &lt; 50 kW</v>
      </c>
      <c r="G244" s="366" t="str">
        <f t="shared" si="71"/>
        <v>General Service 50 to 2999 kW</v>
      </c>
      <c r="H244" s="366" t="str">
        <f t="shared" si="71"/>
        <v>General Service 3000 to 4999 kW</v>
      </c>
      <c r="I244" s="366" t="str">
        <f t="shared" si="71"/>
        <v>Street Lighting</v>
      </c>
      <c r="J244" s="366" t="str">
        <f t="shared" si="71"/>
        <v>Sentinel Lighting</v>
      </c>
      <c r="K244" s="366" t="str">
        <f t="shared" si="71"/>
        <v xml:space="preserve">Unmetered Scattered Load </v>
      </c>
    </row>
    <row r="245" spans="2:12" ht="15" customHeight="1" x14ac:dyDescent="0.2">
      <c r="B245" s="115" t="s">
        <v>109</v>
      </c>
      <c r="C245" s="116"/>
      <c r="D245" s="116"/>
      <c r="E245" s="116"/>
      <c r="F245" s="116"/>
      <c r="G245" s="116"/>
      <c r="H245" s="116"/>
      <c r="I245" s="116"/>
      <c r="J245" s="116"/>
      <c r="K245" s="117"/>
    </row>
    <row r="246" spans="2:12" ht="11.25" x14ac:dyDescent="0.2">
      <c r="B246" s="413">
        <f>B200</f>
        <v>2015</v>
      </c>
      <c r="C246" s="414"/>
      <c r="D246" s="415"/>
      <c r="E246" s="92">
        <f>E220*(1+E241)</f>
        <v>9727.4582563923977</v>
      </c>
      <c r="F246" s="92">
        <f t="shared" ref="F246:K246" si="72">F220*(1+F241)</f>
        <v>32035.556110599056</v>
      </c>
      <c r="G246" s="92">
        <f t="shared" si="72"/>
        <v>861255.78667274606</v>
      </c>
      <c r="H246" s="92">
        <f>-'Rate Class Energy Model'!K85</f>
        <v>17254810.307607245</v>
      </c>
      <c r="I246" s="92">
        <f>'Rate Class Energy Model'!L47</f>
        <v>372.53377138848714</v>
      </c>
      <c r="J246" s="92">
        <f t="shared" si="72"/>
        <v>985.33809159265229</v>
      </c>
      <c r="K246" s="92">
        <f t="shared" si="72"/>
        <v>4577.8086330931574</v>
      </c>
    </row>
    <row r="247" spans="2:12" ht="15" customHeight="1" x14ac:dyDescent="0.2">
      <c r="B247" s="98"/>
      <c r="C247" s="98"/>
      <c r="D247" s="98"/>
      <c r="E247" s="78"/>
      <c r="F247" s="78"/>
      <c r="G247" s="78"/>
      <c r="H247" s="78"/>
      <c r="I247" s="78"/>
    </row>
    <row r="248" spans="2:12" ht="15" customHeight="1" x14ac:dyDescent="0.2">
      <c r="B248" s="70" t="s">
        <v>277</v>
      </c>
      <c r="C248" s="70"/>
      <c r="D248" s="70"/>
      <c r="E248" s="83"/>
      <c r="F248" s="83"/>
      <c r="G248" s="83"/>
      <c r="H248" s="83"/>
      <c r="I248" s="83"/>
    </row>
    <row r="249" spans="2:12" ht="33.75" x14ac:dyDescent="0.2">
      <c r="B249" s="378" t="s">
        <v>85</v>
      </c>
      <c r="C249" s="361"/>
      <c r="D249" s="361"/>
      <c r="E249" s="362" t="str">
        <f t="shared" ref="E249:K249" si="73">E244</f>
        <v xml:space="preserve">Residential </v>
      </c>
      <c r="F249" s="362" t="str">
        <f t="shared" si="73"/>
        <v>General Service &lt; 50 kW</v>
      </c>
      <c r="G249" s="362" t="str">
        <f t="shared" si="73"/>
        <v>General Service 50 to 2999 kW</v>
      </c>
      <c r="H249" s="362" t="str">
        <f t="shared" si="73"/>
        <v>General Service 3000 to 4999 kW</v>
      </c>
      <c r="I249" s="362" t="str">
        <f t="shared" si="73"/>
        <v>Street Lighting</v>
      </c>
      <c r="J249" s="362" t="str">
        <f t="shared" si="73"/>
        <v>Sentinel Lighting</v>
      </c>
      <c r="K249" s="362" t="str">
        <f t="shared" si="73"/>
        <v xml:space="preserve">Unmetered Scattered Load </v>
      </c>
      <c r="L249" s="362" t="s">
        <v>69</v>
      </c>
    </row>
    <row r="250" spans="2:12" ht="11.25" x14ac:dyDescent="0.2">
      <c r="B250" s="115" t="s">
        <v>110</v>
      </c>
      <c r="C250" s="116"/>
      <c r="D250" s="116"/>
      <c r="E250" s="116"/>
      <c r="F250" s="116"/>
      <c r="G250" s="116"/>
      <c r="H250" s="116"/>
      <c r="I250" s="116"/>
      <c r="J250" s="116"/>
      <c r="K250" s="116"/>
      <c r="L250" s="117"/>
    </row>
    <row r="251" spans="2:12" ht="15" customHeight="1" x14ac:dyDescent="0.2">
      <c r="B251" s="122" t="s">
        <v>278</v>
      </c>
      <c r="C251" s="309"/>
      <c r="D251" s="309"/>
      <c r="E251" s="320">
        <f>E246*E200/1000000</f>
        <v>205.482828208033</v>
      </c>
      <c r="F251" s="320">
        <f t="shared" ref="F251:K251" si="74">F246*F200/1000000</f>
        <v>85.47086370307828</v>
      </c>
      <c r="G251" s="320">
        <f t="shared" si="74"/>
        <v>212.73017930816829</v>
      </c>
      <c r="H251" s="320">
        <f>H246*2/1000000</f>
        <v>34.509620615214487</v>
      </c>
      <c r="I251" s="320">
        <f>I246*I200/1000000</f>
        <v>2.0187605071542118</v>
      </c>
      <c r="J251" s="320">
        <f t="shared" si="74"/>
        <v>0.40595929373617273</v>
      </c>
      <c r="K251" s="320">
        <f t="shared" si="74"/>
        <v>3.2044660431652099E-2</v>
      </c>
      <c r="L251" s="320">
        <f>SUM(E251:K251)</f>
        <v>540.65025629581612</v>
      </c>
    </row>
    <row r="252" spans="2:12" ht="15" customHeight="1" x14ac:dyDescent="0.2">
      <c r="B252" s="98"/>
      <c r="C252" s="98"/>
      <c r="D252" s="98"/>
      <c r="E252" s="79"/>
      <c r="F252" s="79"/>
      <c r="G252" s="79"/>
      <c r="H252" s="79"/>
      <c r="I252" s="79"/>
      <c r="J252" s="79"/>
      <c r="K252" s="79"/>
    </row>
    <row r="253" spans="2:12" ht="15" customHeight="1" x14ac:dyDescent="0.2">
      <c r="B253" s="69"/>
      <c r="C253" s="83"/>
      <c r="D253" s="83"/>
      <c r="E253" s="70" t="s">
        <v>279</v>
      </c>
      <c r="F253" s="83"/>
      <c r="G253" s="83"/>
    </row>
    <row r="254" spans="2:12" ht="33.75" x14ac:dyDescent="0.2">
      <c r="B254" s="69"/>
      <c r="C254" s="69"/>
      <c r="D254" s="69"/>
      <c r="E254" s="362" t="str">
        <f t="shared" ref="E254:K254" si="75">E249</f>
        <v xml:space="preserve">Residential </v>
      </c>
      <c r="F254" s="362" t="str">
        <f t="shared" si="75"/>
        <v>General Service &lt; 50 kW</v>
      </c>
      <c r="G254" s="362" t="str">
        <f t="shared" si="75"/>
        <v>General Service 50 to 2999 kW</v>
      </c>
      <c r="H254" s="362" t="str">
        <f t="shared" si="75"/>
        <v>General Service 3000 to 4999 kW</v>
      </c>
      <c r="I254" s="362" t="str">
        <f t="shared" si="75"/>
        <v>Street Lighting</v>
      </c>
      <c r="J254" s="362" t="str">
        <f t="shared" si="75"/>
        <v>Sentinel Lighting</v>
      </c>
      <c r="K254" s="362" t="str">
        <f t="shared" si="75"/>
        <v xml:space="preserve">Unmetered Scattered Load </v>
      </c>
    </row>
    <row r="255" spans="2:12" ht="15" customHeight="1" x14ac:dyDescent="0.2">
      <c r="B255" s="69"/>
      <c r="C255" s="69"/>
      <c r="D255" s="69"/>
      <c r="E255" s="87" t="s">
        <v>111</v>
      </c>
      <c r="F255" s="88"/>
      <c r="G255" s="88"/>
      <c r="H255" s="88"/>
      <c r="I255" s="88"/>
      <c r="J255" s="127"/>
      <c r="K255" s="120"/>
    </row>
    <row r="256" spans="2:12" ht="15" customHeight="1" x14ac:dyDescent="0.2">
      <c r="B256" s="69"/>
      <c r="C256" s="69"/>
      <c r="D256" s="69"/>
      <c r="E256" s="128">
        <f>'Rate Class Energy Model'!H76</f>
        <v>0.91</v>
      </c>
      <c r="F256" s="128">
        <f>'Rate Class Energy Model'!I76</f>
        <v>0.91</v>
      </c>
      <c r="G256" s="128">
        <f>'Rate Class Energy Model'!J76</f>
        <v>0.81620000000000004</v>
      </c>
      <c r="H256" s="128">
        <f>'Rate Class Energy Model'!K76</f>
        <v>0</v>
      </c>
      <c r="I256" s="128">
        <f>'Rate Class Energy Model'!L76</f>
        <v>0</v>
      </c>
      <c r="J256" s="128">
        <f>'Rate Class Energy Model'!M76</f>
        <v>0</v>
      </c>
      <c r="K256" s="128">
        <f>'Rate Class Energy Model'!N76</f>
        <v>0</v>
      </c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</row>
    <row r="258" spans="2:21" ht="15" customHeight="1" x14ac:dyDescent="0.2">
      <c r="B258" s="69"/>
      <c r="C258" s="69"/>
      <c r="D258" s="69"/>
      <c r="E258" s="80"/>
      <c r="F258" s="80"/>
      <c r="G258" s="80"/>
      <c r="H258" s="80"/>
      <c r="I258" s="80"/>
      <c r="J258" s="80"/>
      <c r="O258" s="428" t="s">
        <v>306</v>
      </c>
      <c r="P258" s="428"/>
      <c r="Q258" s="428"/>
      <c r="R258" s="428"/>
      <c r="S258" s="428"/>
      <c r="T258" s="428"/>
      <c r="U258" s="428"/>
    </row>
    <row r="259" spans="2:21" ht="15" customHeight="1" x14ac:dyDescent="0.2">
      <c r="B259" s="69"/>
      <c r="C259" s="69"/>
      <c r="D259" s="69"/>
      <c r="J259" s="80"/>
      <c r="O259" s="429">
        <v>26100000</v>
      </c>
      <c r="P259" s="429"/>
      <c r="Q259" s="429"/>
      <c r="R259" s="429"/>
      <c r="S259" s="429"/>
      <c r="T259" s="429"/>
      <c r="U259" s="429"/>
    </row>
    <row r="260" spans="2:21" ht="15" customHeight="1" x14ac:dyDescent="0.2">
      <c r="B260" s="69"/>
      <c r="C260" s="69"/>
      <c r="D260" s="69"/>
      <c r="J260" s="80"/>
      <c r="O260" s="434"/>
      <c r="P260" s="435"/>
      <c r="Q260" s="355">
        <v>2011</v>
      </c>
      <c r="R260" s="355">
        <v>2012</v>
      </c>
      <c r="S260" s="355">
        <v>2013</v>
      </c>
      <c r="T260" s="355">
        <v>2014</v>
      </c>
      <c r="U260" s="355" t="s">
        <v>12</v>
      </c>
    </row>
    <row r="261" spans="2:21" ht="15" customHeight="1" x14ac:dyDescent="0.2">
      <c r="B261" s="69"/>
      <c r="C261" s="69"/>
      <c r="D261" s="69"/>
      <c r="J261" s="80"/>
      <c r="O261" s="351" t="s">
        <v>307</v>
      </c>
      <c r="P261" s="352"/>
      <c r="Q261" s="353">
        <f>Q267/$O$259</f>
        <v>0.10076628352490422</v>
      </c>
      <c r="R261" s="353">
        <f t="shared" ref="R261:T261" si="76">R267/$O$259</f>
        <v>8.9425287356321839E-2</v>
      </c>
      <c r="S261" s="353">
        <f t="shared" si="76"/>
        <v>8.9272030651340997E-2</v>
      </c>
      <c r="T261" s="353">
        <f t="shared" si="76"/>
        <v>8.5057471264367815E-2</v>
      </c>
      <c r="U261" s="353">
        <f>SUM(Q261:T261)</f>
        <v>0.36452107279693485</v>
      </c>
    </row>
    <row r="262" spans="2:21" ht="15" customHeight="1" x14ac:dyDescent="0.2">
      <c r="B262" s="69"/>
      <c r="C262" s="69"/>
      <c r="D262" s="69"/>
      <c r="J262" s="80"/>
      <c r="O262" s="351" t="s">
        <v>308</v>
      </c>
      <c r="P262" s="352"/>
      <c r="Q262" s="353"/>
      <c r="R262" s="353">
        <f t="shared" ref="R262:T262" si="77">R268/$O$259</f>
        <v>0.10580597701149426</v>
      </c>
      <c r="S262" s="353">
        <f t="shared" si="77"/>
        <v>9.5402298850574718E-2</v>
      </c>
      <c r="T262" s="353">
        <f t="shared" si="77"/>
        <v>9.3103448275862075E-2</v>
      </c>
      <c r="U262" s="353">
        <f t="shared" ref="U262:U264" si="78">SUM(Q262:T262)</f>
        <v>0.29431172413793105</v>
      </c>
    </row>
    <row r="263" spans="2:21" ht="15" customHeight="1" x14ac:dyDescent="0.2">
      <c r="B263" s="69"/>
      <c r="C263" s="69"/>
      <c r="D263" s="69"/>
      <c r="J263" s="80"/>
      <c r="O263" s="351" t="s">
        <v>309</v>
      </c>
      <c r="P263" s="352"/>
      <c r="Q263" s="353"/>
      <c r="R263" s="353"/>
      <c r="S263" s="353">
        <f t="shared" ref="S263:T263" si="79">S269/$O$259</f>
        <v>0.11681992337164751</v>
      </c>
      <c r="T263" s="353">
        <f t="shared" si="79"/>
        <v>0.11681992337164751</v>
      </c>
      <c r="U263" s="353">
        <f t="shared" si="78"/>
        <v>0.23363984674329502</v>
      </c>
    </row>
    <row r="264" spans="2:21" ht="15" customHeight="1" x14ac:dyDescent="0.2">
      <c r="B264" s="69"/>
      <c r="C264" s="69"/>
      <c r="D264" s="69"/>
      <c r="J264" s="80"/>
      <c r="O264" s="351" t="s">
        <v>310</v>
      </c>
      <c r="P264" s="352"/>
      <c r="Q264" s="353"/>
      <c r="R264" s="353"/>
      <c r="S264" s="353"/>
      <c r="T264" s="353">
        <f t="shared" ref="T264" si="80">T270/$O$259</f>
        <v>0.23454160919540229</v>
      </c>
      <c r="U264" s="353">
        <f t="shared" si="78"/>
        <v>0.23454160919540229</v>
      </c>
    </row>
    <row r="265" spans="2:21" ht="15" customHeight="1" x14ac:dyDescent="0.2">
      <c r="B265" s="69"/>
      <c r="C265" s="69"/>
      <c r="D265" s="69"/>
      <c r="J265" s="80"/>
      <c r="O265" s="436" t="s">
        <v>311</v>
      </c>
      <c r="P265" s="437"/>
      <c r="Q265" s="353">
        <f>SUM(Q261:Q264)</f>
        <v>0.10076628352490422</v>
      </c>
      <c r="R265" s="353">
        <f t="shared" ref="R265:T265" si="81">SUM(R261:R264)</f>
        <v>0.1952312643678161</v>
      </c>
      <c r="S265" s="353">
        <f t="shared" si="81"/>
        <v>0.30149425287356324</v>
      </c>
      <c r="T265" s="353">
        <f t="shared" si="81"/>
        <v>0.52952245210727966</v>
      </c>
      <c r="U265" s="353">
        <f>SUM(U261:U264)</f>
        <v>1.1270142528735632</v>
      </c>
    </row>
    <row r="266" spans="2:21" ht="15" customHeight="1" x14ac:dyDescent="0.2">
      <c r="B266" s="69"/>
      <c r="C266" s="69"/>
      <c r="D266" s="69"/>
      <c r="J266" s="80"/>
      <c r="O266" s="430" t="s">
        <v>174</v>
      </c>
      <c r="P266" s="430"/>
      <c r="Q266" s="430"/>
      <c r="R266" s="430"/>
      <c r="S266" s="430"/>
      <c r="T266" s="430"/>
      <c r="U266" s="430"/>
    </row>
    <row r="267" spans="2:21" ht="15" customHeight="1" x14ac:dyDescent="0.2">
      <c r="B267" s="69"/>
      <c r="C267" s="69"/>
      <c r="D267" s="69"/>
      <c r="J267" s="80"/>
      <c r="O267" s="351" t="s">
        <v>307</v>
      </c>
      <c r="P267" s="352"/>
      <c r="Q267" s="354">
        <f>'[11]IndEco-Final in Load Forecast'!B6</f>
        <v>2630000</v>
      </c>
      <c r="R267" s="354">
        <f>'[11]IndEco-Final in Load Forecast'!C6</f>
        <v>2334000</v>
      </c>
      <c r="S267" s="354">
        <f>'[11]IndEco-Final in Load Forecast'!D6</f>
        <v>2330000</v>
      </c>
      <c r="T267" s="354">
        <f>'[11]IndEco-Final in Load Forecast'!E6</f>
        <v>2220000</v>
      </c>
      <c r="U267" s="354">
        <f>SUM(Q267:T267)</f>
        <v>9514000</v>
      </c>
    </row>
    <row r="268" spans="2:21" ht="15" customHeight="1" x14ac:dyDescent="0.2">
      <c r="B268" s="69"/>
      <c r="C268" s="69"/>
      <c r="D268" s="69"/>
      <c r="J268" s="80"/>
      <c r="O268" s="351" t="s">
        <v>308</v>
      </c>
      <c r="P268" s="352"/>
      <c r="Q268" s="354"/>
      <c r="R268" s="354">
        <f>'[11]IndEco-Final in Load Forecast'!C7</f>
        <v>2761536</v>
      </c>
      <c r="S268" s="354">
        <f>'[11]IndEco-Final in Load Forecast'!D7</f>
        <v>2490000</v>
      </c>
      <c r="T268" s="354">
        <f>'[11]IndEco-Final in Load Forecast'!E7</f>
        <v>2430000</v>
      </c>
      <c r="U268" s="354">
        <f t="shared" ref="U268:U270" si="82">SUM(Q268:T268)</f>
        <v>7681536</v>
      </c>
    </row>
    <row r="269" spans="2:21" ht="15" customHeight="1" x14ac:dyDescent="0.2">
      <c r="B269" s="69"/>
      <c r="C269" s="69"/>
      <c r="D269" s="69"/>
      <c r="J269" s="80"/>
      <c r="L269" s="76"/>
      <c r="O269" s="351" t="s">
        <v>309</v>
      </c>
      <c r="P269" s="352"/>
      <c r="Q269" s="354"/>
      <c r="R269" s="354"/>
      <c r="S269" s="354">
        <f>'[11]IndEco-Final in Load Forecast'!D8</f>
        <v>3049000</v>
      </c>
      <c r="T269" s="354">
        <f>'[11]IndEco-Final in Load Forecast'!E8</f>
        <v>3049000</v>
      </c>
      <c r="U269" s="354">
        <f t="shared" si="82"/>
        <v>6098000</v>
      </c>
    </row>
    <row r="270" spans="2:21" ht="15" customHeight="1" x14ac:dyDescent="0.2">
      <c r="B270" s="69"/>
      <c r="C270" s="69"/>
      <c r="D270" s="69"/>
      <c r="J270" s="80"/>
      <c r="O270" s="351" t="s">
        <v>310</v>
      </c>
      <c r="P270" s="352"/>
      <c r="Q270" s="354"/>
      <c r="R270" s="354"/>
      <c r="S270" s="354"/>
      <c r="T270" s="354">
        <f>'[11]IndEco-Final in Load Forecast'!E9</f>
        <v>6121536</v>
      </c>
      <c r="U270" s="354">
        <f t="shared" si="82"/>
        <v>6121536</v>
      </c>
    </row>
    <row r="271" spans="2:21" ht="15" customHeight="1" x14ac:dyDescent="0.2">
      <c r="B271" s="69"/>
      <c r="C271" s="69"/>
      <c r="D271" s="69"/>
      <c r="J271" s="80"/>
      <c r="O271" s="436" t="s">
        <v>311</v>
      </c>
      <c r="P271" s="437"/>
      <c r="Q271" s="354">
        <f>SUM(Q267:Q270)</f>
        <v>2630000</v>
      </c>
      <c r="R271" s="354">
        <f t="shared" ref="R271:T271" si="83">SUM(R267:R270)</f>
        <v>5095536</v>
      </c>
      <c r="S271" s="354">
        <f t="shared" si="83"/>
        <v>7869000</v>
      </c>
      <c r="T271" s="354">
        <f t="shared" si="83"/>
        <v>13820536</v>
      </c>
      <c r="U271" s="354">
        <f>SUM(U267:U270)</f>
        <v>29415072</v>
      </c>
    </row>
    <row r="272" spans="2:21" ht="15" customHeight="1" x14ac:dyDescent="0.2">
      <c r="B272" s="69"/>
      <c r="C272" s="69"/>
      <c r="D272" s="69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432" t="s">
        <v>174</v>
      </c>
      <c r="P274" s="433"/>
      <c r="Q274" s="367">
        <f>Q260</f>
        <v>2011</v>
      </c>
      <c r="R274" s="367">
        <f>R260</f>
        <v>2012</v>
      </c>
      <c r="S274" s="367">
        <f>S260</f>
        <v>2013</v>
      </c>
      <c r="T274" s="367">
        <f>T260</f>
        <v>2014</v>
      </c>
      <c r="U274" s="367">
        <v>2015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56" t="s">
        <v>307</v>
      </c>
      <c r="P275" s="356"/>
      <c r="Q275" s="354">
        <f>Q267</f>
        <v>2630000</v>
      </c>
      <c r="R275" s="354">
        <f t="shared" ref="R275:T275" si="84">R267</f>
        <v>2334000</v>
      </c>
      <c r="S275" s="354">
        <f t="shared" si="84"/>
        <v>2330000</v>
      </c>
      <c r="T275" s="354">
        <f t="shared" si="84"/>
        <v>2220000</v>
      </c>
      <c r="U275" s="354">
        <f>'[11]IndEco-Final in Load Forecast'!F6</f>
        <v>2220000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56" t="s">
        <v>308</v>
      </c>
      <c r="P276" s="356"/>
      <c r="Q276" s="354"/>
      <c r="R276" s="354">
        <f>R268</f>
        <v>2761536</v>
      </c>
      <c r="S276" s="354">
        <f>S268</f>
        <v>2490000</v>
      </c>
      <c r="T276" s="354">
        <f>T268</f>
        <v>2430000</v>
      </c>
      <c r="U276" s="354">
        <f>'[11]IndEco-Final in Load Forecast'!F7</f>
        <v>2430000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56" t="s">
        <v>309</v>
      </c>
      <c r="P277" s="356"/>
      <c r="Q277" s="354"/>
      <c r="R277" s="354"/>
      <c r="S277" s="354">
        <f>S269</f>
        <v>3049000</v>
      </c>
      <c r="T277" s="354">
        <f>T269</f>
        <v>3049000</v>
      </c>
      <c r="U277" s="354">
        <f>'[11]IndEco-Final in Load Forecast'!F8</f>
        <v>3049000</v>
      </c>
      <c r="V277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56" t="s">
        <v>310</v>
      </c>
      <c r="P278" s="356"/>
      <c r="Q278" s="354"/>
      <c r="R278" s="354"/>
      <c r="S278" s="354"/>
      <c r="T278" s="354">
        <f>T270</f>
        <v>6121536</v>
      </c>
      <c r="U278" s="354">
        <f>'[11]IndEco-Final in Load Forecast'!F9</f>
        <v>6121536</v>
      </c>
      <c r="V278"/>
      <c r="W278" s="357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356" t="s">
        <v>312</v>
      </c>
      <c r="P279" s="356"/>
      <c r="Q279" s="354"/>
      <c r="R279" s="354"/>
      <c r="S279" s="354"/>
      <c r="T279" s="354"/>
      <c r="U279" s="354">
        <f>'[11]IndEco-Final in Load Forecast'!F10</f>
        <v>14353536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431" t="s">
        <v>311</v>
      </c>
      <c r="P280" s="431"/>
      <c r="Q280" s="354">
        <f t="shared" ref="Q280:T280" si="85">SUM(Q275:Q279)</f>
        <v>2630000</v>
      </c>
      <c r="R280" s="354">
        <f t="shared" si="85"/>
        <v>5095536</v>
      </c>
      <c r="S280" s="354">
        <f t="shared" si="85"/>
        <v>7869000</v>
      </c>
      <c r="T280" s="354">
        <f t="shared" si="85"/>
        <v>13820536</v>
      </c>
      <c r="U280" s="354">
        <f>SUM(U275:U279)</f>
        <v>28174072</v>
      </c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58"/>
      <c r="P281" s="358"/>
      <c r="Q281" s="359"/>
      <c r="R281" s="359"/>
      <c r="S281" s="359"/>
      <c r="T281" s="359"/>
      <c r="U281" s="359"/>
      <c r="V281"/>
    </row>
    <row r="282" spans="1:23" ht="15" customHeight="1" x14ac:dyDescent="0.2">
      <c r="B282" s="69"/>
      <c r="C282" s="69"/>
      <c r="D282" s="69"/>
      <c r="E282" s="80"/>
      <c r="F282" s="80"/>
      <c r="G282" s="80"/>
      <c r="H282" s="80"/>
      <c r="I282" s="80"/>
      <c r="J282" s="80"/>
      <c r="O282" s="358"/>
      <c r="P282" s="358"/>
      <c r="Q282" s="359"/>
      <c r="R282" s="359"/>
      <c r="S282" s="359"/>
      <c r="T282" s="359"/>
      <c r="U282" s="359"/>
      <c r="V282"/>
    </row>
    <row r="283" spans="1:23" ht="15" customHeight="1" x14ac:dyDescent="0.2">
      <c r="A283" s="70" t="s">
        <v>313</v>
      </c>
      <c r="B283" s="70"/>
      <c r="C283" s="70"/>
      <c r="D283" s="83"/>
      <c r="E283" s="83"/>
      <c r="F283" s="83"/>
      <c r="G283" s="83"/>
      <c r="H283" s="83"/>
      <c r="O283" s="358"/>
      <c r="P283" s="358"/>
      <c r="Q283" s="359"/>
      <c r="R283" s="359"/>
      <c r="S283" s="359"/>
      <c r="T283" s="359"/>
      <c r="U283" s="359"/>
      <c r="V283"/>
    </row>
    <row r="284" spans="1:23" ht="33.75" x14ac:dyDescent="0.2">
      <c r="A284" s="410" t="s">
        <v>85</v>
      </c>
      <c r="B284" s="411"/>
      <c r="C284" s="411"/>
      <c r="D284" s="412"/>
      <c r="E284" s="362" t="str">
        <f>E254</f>
        <v xml:space="preserve">Residential </v>
      </c>
      <c r="F284" s="362" t="str">
        <f t="shared" ref="F284:K284" si="86">F254</f>
        <v>General Service &lt; 50 kW</v>
      </c>
      <c r="G284" s="362" t="str">
        <f t="shared" si="86"/>
        <v>General Service 50 to 2999 kW</v>
      </c>
      <c r="H284" s="362" t="str">
        <f t="shared" si="86"/>
        <v>General Service 3000 to 4999 kW</v>
      </c>
      <c r="I284" s="362" t="str">
        <f t="shared" si="86"/>
        <v>Street Lighting</v>
      </c>
      <c r="J284" s="362" t="str">
        <f t="shared" si="86"/>
        <v>Sentinel Lighting</v>
      </c>
      <c r="K284" s="362" t="str">
        <f t="shared" si="86"/>
        <v xml:space="preserve">Unmetered Scattered Load </v>
      </c>
      <c r="L284" s="362" t="str">
        <f>L249</f>
        <v>TOTAL</v>
      </c>
      <c r="O284" s="358"/>
      <c r="P284" s="358"/>
      <c r="Q284" s="359"/>
      <c r="R284" s="359"/>
      <c r="S284" s="359"/>
      <c r="T284" s="359"/>
      <c r="U284" s="359"/>
      <c r="V284"/>
    </row>
    <row r="285" spans="1:23" ht="15" customHeight="1" x14ac:dyDescent="0.2">
      <c r="A285" s="407" t="s">
        <v>314</v>
      </c>
      <c r="B285" s="408"/>
      <c r="C285" s="408"/>
      <c r="D285" s="409"/>
      <c r="E285" s="124">
        <f>'Rate Class Energy Model'!H82/'Rate Class Energy Model'!$O$82*'Rate Class Energy Model'!$R$82</f>
        <v>0</v>
      </c>
      <c r="F285" s="124">
        <f>'Rate Class Energy Model'!I82/'Rate Class Energy Model'!$O$82*'Rate Class Energy Model'!$R$82</f>
        <v>0</v>
      </c>
      <c r="G285" s="124">
        <f>'Rate Class Energy Model'!J82/'Rate Class Energy Model'!$O$82*'Rate Class Energy Model'!$R$82</f>
        <v>0</v>
      </c>
      <c r="H285" s="124">
        <f>'Rate Class Energy Model'!K82/'Rate Class Energy Model'!$O$82*'Rate Class Energy Model'!$R$82</f>
        <v>0</v>
      </c>
      <c r="I285" s="124">
        <f>-'Rate Class Energy Model'!Q82</f>
        <v>0</v>
      </c>
      <c r="J285" s="124">
        <f>J280*J236/1000000</f>
        <v>0</v>
      </c>
      <c r="K285" s="124">
        <f>K280*K236/1000000</f>
        <v>0</v>
      </c>
      <c r="L285" s="124">
        <f>U280</f>
        <v>28174072</v>
      </c>
      <c r="O285" s="358"/>
      <c r="P285" s="358"/>
      <c r="Q285" s="359"/>
      <c r="R285" s="359"/>
      <c r="S285" s="359"/>
      <c r="T285" s="359"/>
      <c r="U285" s="359"/>
      <c r="V285"/>
    </row>
    <row r="286" spans="1:23" ht="15" customHeight="1" x14ac:dyDescent="0.2">
      <c r="A286" s="407" t="s">
        <v>315</v>
      </c>
      <c r="B286" s="408"/>
      <c r="C286" s="408"/>
      <c r="D286" s="409"/>
      <c r="E286" s="124">
        <f>E281*E237/1000000</f>
        <v>0</v>
      </c>
      <c r="F286" s="124">
        <f>F281*F237/1000000</f>
        <v>0</v>
      </c>
      <c r="G286" s="124">
        <f>G285*'Rate Class Load Model'!B40</f>
        <v>0</v>
      </c>
      <c r="H286" s="124">
        <f>H285*'Rate Class Load Model'!C40</f>
        <v>0</v>
      </c>
      <c r="I286" s="124">
        <f>I285*'Rate Class Load Model'!D40</f>
        <v>0</v>
      </c>
      <c r="J286" s="124">
        <f>J281*J237/1000000</f>
        <v>0</v>
      </c>
      <c r="K286" s="124">
        <f>K281*K237/1000000</f>
        <v>0</v>
      </c>
      <c r="L286" s="124">
        <f>SUM(E286:K286)</f>
        <v>0</v>
      </c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4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4" ht="15" customHeight="1" x14ac:dyDescent="0.2">
      <c r="B290" s="69"/>
      <c r="C290" s="69"/>
      <c r="D290" s="69"/>
      <c r="E290" s="80"/>
      <c r="F290" s="80"/>
      <c r="G290" s="80"/>
      <c r="H290" s="80"/>
      <c r="I290" s="80"/>
      <c r="J290" s="80"/>
    </row>
    <row r="291" spans="2:14" ht="15" customHeight="1" x14ac:dyDescent="0.2">
      <c r="B291" s="70" t="s">
        <v>280</v>
      </c>
      <c r="C291" s="70"/>
      <c r="D291" s="70"/>
      <c r="E291" s="83"/>
      <c r="F291" s="83"/>
      <c r="G291" s="83"/>
      <c r="H291" s="83"/>
      <c r="I291" s="83"/>
      <c r="J291" s="83"/>
    </row>
    <row r="292" spans="2:14" ht="33.75" x14ac:dyDescent="0.2">
      <c r="B292" s="360" t="s">
        <v>85</v>
      </c>
      <c r="C292" s="361"/>
      <c r="D292" s="361"/>
      <c r="E292" s="362" t="str">
        <f t="shared" ref="E292:K292" si="87">E254</f>
        <v xml:space="preserve">Residential </v>
      </c>
      <c r="F292" s="362" t="str">
        <f t="shared" si="87"/>
        <v>General Service &lt; 50 kW</v>
      </c>
      <c r="G292" s="362" t="str">
        <f t="shared" si="87"/>
        <v>General Service 50 to 2999 kW</v>
      </c>
      <c r="H292" s="362" t="str">
        <f t="shared" si="87"/>
        <v>General Service 3000 to 4999 kW</v>
      </c>
      <c r="I292" s="362" t="str">
        <f t="shared" si="87"/>
        <v>Street Lighting</v>
      </c>
      <c r="J292" s="362" t="str">
        <f t="shared" si="87"/>
        <v>Sentinel Lighting</v>
      </c>
      <c r="K292" s="362" t="str">
        <f t="shared" si="87"/>
        <v xml:space="preserve">Unmetered Scattered Load </v>
      </c>
      <c r="L292" s="362" t="s">
        <v>69</v>
      </c>
    </row>
    <row r="293" spans="2:14" ht="15" customHeight="1" x14ac:dyDescent="0.2">
      <c r="B293" s="322" t="s">
        <v>112</v>
      </c>
      <c r="C293" s="127"/>
      <c r="D293" s="127"/>
      <c r="E293" s="127"/>
      <c r="F293" s="127"/>
      <c r="G293" s="127"/>
      <c r="H293" s="127"/>
      <c r="I293" s="127"/>
      <c r="J293" s="127"/>
      <c r="K293" s="127"/>
      <c r="L293" s="120"/>
    </row>
    <row r="294" spans="2:14" ht="15" customHeight="1" x14ac:dyDescent="0.2">
      <c r="B294" s="122" t="str">
        <f>B251</f>
        <v>2015 (Not Normalized)</v>
      </c>
      <c r="C294" s="129"/>
      <c r="D294" s="129"/>
      <c r="E294" s="320">
        <f t="shared" ref="E294:K294" si="88">E251</f>
        <v>205.482828208033</v>
      </c>
      <c r="F294" s="320">
        <f t="shared" si="88"/>
        <v>85.47086370307828</v>
      </c>
      <c r="G294" s="320">
        <f t="shared" si="88"/>
        <v>212.73017930816829</v>
      </c>
      <c r="H294" s="320">
        <f t="shared" si="88"/>
        <v>34.509620615214487</v>
      </c>
      <c r="I294" s="320">
        <f t="shared" si="88"/>
        <v>2.0187605071542118</v>
      </c>
      <c r="J294" s="320">
        <f t="shared" si="88"/>
        <v>0.40595929373617273</v>
      </c>
      <c r="K294" s="381">
        <f t="shared" si="88"/>
        <v>3.2044660431652099E-2</v>
      </c>
      <c r="L294" s="320">
        <f>SUM(E294:K294)</f>
        <v>540.65025629581612</v>
      </c>
    </row>
    <row r="295" spans="2:14" ht="15" customHeight="1" x14ac:dyDescent="0.2">
      <c r="B295" s="322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382"/>
      <c r="L295" s="120"/>
    </row>
    <row r="296" spans="2:14" ht="15" customHeight="1" x14ac:dyDescent="0.2">
      <c r="B296" s="425">
        <f>B246</f>
        <v>2015</v>
      </c>
      <c r="C296" s="426"/>
      <c r="D296" s="427"/>
      <c r="E296" s="323">
        <f>'Rate Class Energy Model'!H80/1000000</f>
        <v>2.321607220354597</v>
      </c>
      <c r="F296" s="323">
        <f>'Rate Class Energy Model'!I80/1000000</f>
        <v>0.96567570163146588</v>
      </c>
      <c r="G296" s="323">
        <f>'Rate Class Energy Model'!J80/1000000</f>
        <v>2.1557456352390449</v>
      </c>
      <c r="H296" s="323">
        <f>'Rate Class Energy Model'!K80/1000000</f>
        <v>0</v>
      </c>
      <c r="I296" s="323">
        <f>'Rate Class Energy Model'!L80/1000000</f>
        <v>0</v>
      </c>
      <c r="J296" s="323">
        <f>'Rate Class Energy Model'!M80/1000000</f>
        <v>0</v>
      </c>
      <c r="K296" s="381">
        <f>'Rate Class Energy Model'!N80/1000000</f>
        <v>0</v>
      </c>
      <c r="L296" s="323">
        <f>SUM(E296:K296)</f>
        <v>5.4430285572251078</v>
      </c>
    </row>
    <row r="297" spans="2:14" ht="15" customHeight="1" x14ac:dyDescent="0.2">
      <c r="B297" s="322" t="s">
        <v>140</v>
      </c>
      <c r="C297" s="127"/>
      <c r="D297" s="127"/>
      <c r="E297" s="127"/>
      <c r="F297" s="127"/>
      <c r="G297" s="127"/>
      <c r="H297" s="127"/>
      <c r="I297" s="127"/>
      <c r="J297" s="127"/>
      <c r="K297" s="382"/>
      <c r="L297" s="120"/>
    </row>
    <row r="298" spans="2:14" ht="15" customHeight="1" x14ac:dyDescent="0.2">
      <c r="B298" s="425">
        <f>B296</f>
        <v>2015</v>
      </c>
      <c r="C298" s="426"/>
      <c r="D298" s="427"/>
      <c r="E298" s="324">
        <f>-'Rate Class Energy Model'!H82/1000000</f>
        <v>-0.88484899408454665</v>
      </c>
      <c r="F298" s="324">
        <f>-'Rate Class Energy Model'!I82/1000000</f>
        <v>-0.48395231658616333</v>
      </c>
      <c r="G298" s="324">
        <f>-'Rate Class Energy Model'!J82/1000000</f>
        <v>-6.7308768956981053</v>
      </c>
      <c r="H298" s="324">
        <f>-'Rate Class Energy Model'!K82/1000000</f>
        <v>0</v>
      </c>
      <c r="I298" s="324">
        <f>-'Rate Class Energy Model'!L82/1000000</f>
        <v>0</v>
      </c>
      <c r="J298" s="324">
        <f>-'Rate Class Energy Model'!M82/1000000</f>
        <v>0</v>
      </c>
      <c r="K298" s="381">
        <f>-'Rate Class Energy Model'!N82/1000000</f>
        <v>0</v>
      </c>
      <c r="L298" s="323">
        <f>SUM(E298:K298)</f>
        <v>-8.0996782063688144</v>
      </c>
    </row>
    <row r="299" spans="2:14" ht="15" customHeight="1" x14ac:dyDescent="0.2">
      <c r="B299" s="322" t="s">
        <v>281</v>
      </c>
      <c r="C299" s="127"/>
      <c r="D299" s="127"/>
      <c r="E299" s="127"/>
      <c r="F299" s="127"/>
      <c r="G299" s="127"/>
      <c r="H299" s="127"/>
      <c r="I299" s="127"/>
      <c r="J299" s="127"/>
      <c r="K299" s="382"/>
      <c r="L299" s="120"/>
    </row>
    <row r="300" spans="2:14" ht="15" customHeight="1" x14ac:dyDescent="0.2">
      <c r="B300" s="425">
        <f>B298</f>
        <v>2015</v>
      </c>
      <c r="C300" s="426"/>
      <c r="D300" s="427"/>
      <c r="E300" s="324">
        <f>'Rate Class Energy Model'!H85/1000000</f>
        <v>0</v>
      </c>
      <c r="F300" s="324">
        <f>'Rate Class Energy Model'!I85/1000000</f>
        <v>0</v>
      </c>
      <c r="G300" s="324">
        <f>'Rate Class Energy Model'!J85/1000000</f>
        <v>0</v>
      </c>
      <c r="H300" s="324">
        <f>'Rate Class Energy Model'!K85/1000000</f>
        <v>-17.254810307607244</v>
      </c>
      <c r="I300" s="324">
        <f>'Rate Class Energy Model'!L85/1000000</f>
        <v>0</v>
      </c>
      <c r="J300" s="324">
        <f>'Rate Class Energy Model'!M85/1000000</f>
        <v>0</v>
      </c>
      <c r="K300" s="381">
        <f>'Rate Class Energy Model'!N85/1000000</f>
        <v>0</v>
      </c>
      <c r="L300" s="323">
        <f>SUM(E300:K300)</f>
        <v>-17.254810307607244</v>
      </c>
    </row>
    <row r="301" spans="2:14" ht="15" customHeight="1" x14ac:dyDescent="0.2">
      <c r="B301" s="322" t="s">
        <v>114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4" ht="11.25" x14ac:dyDescent="0.2">
      <c r="B302" s="425" t="str">
        <f>B152</f>
        <v>2015 Test - Normalized</v>
      </c>
      <c r="C302" s="426"/>
      <c r="D302" s="427"/>
      <c r="E302" s="324">
        <f t="shared" ref="E302:L302" si="89">E294+E296+E298+E300</f>
        <v>206.91958643430306</v>
      </c>
      <c r="F302" s="324">
        <f t="shared" si="89"/>
        <v>85.952587088123579</v>
      </c>
      <c r="G302" s="324">
        <f t="shared" si="89"/>
        <v>208.15504804770922</v>
      </c>
      <c r="H302" s="324">
        <f t="shared" si="89"/>
        <v>17.254810307607244</v>
      </c>
      <c r="I302" s="324">
        <f t="shared" si="89"/>
        <v>2.0187605071542118</v>
      </c>
      <c r="J302" s="324">
        <f t="shared" si="89"/>
        <v>0.40595929373617273</v>
      </c>
      <c r="K302" s="380">
        <f t="shared" si="89"/>
        <v>3.2044660431652099E-2</v>
      </c>
      <c r="L302" s="324">
        <f t="shared" si="89"/>
        <v>520.73879633906517</v>
      </c>
      <c r="N302" s="114"/>
    </row>
    <row r="303" spans="2:14" ht="15" customHeight="1" x14ac:dyDescent="0.2">
      <c r="B303" s="98"/>
      <c r="C303" s="98"/>
      <c r="D303" s="98"/>
      <c r="E303" s="81"/>
      <c r="F303" s="81"/>
      <c r="G303" s="81"/>
      <c r="H303" s="81"/>
      <c r="I303" s="81"/>
      <c r="J303" s="81"/>
      <c r="K303" s="79"/>
    </row>
    <row r="304" spans="2:14" ht="15" customHeight="1" x14ac:dyDescent="0.2">
      <c r="B304" s="70" t="s">
        <v>282</v>
      </c>
      <c r="C304" s="70"/>
      <c r="D304" s="70"/>
      <c r="E304" s="83"/>
      <c r="F304" s="83"/>
      <c r="G304" s="83"/>
      <c r="H304" s="83"/>
      <c r="I304" s="83"/>
      <c r="J304" s="83"/>
    </row>
    <row r="305" spans="2:13" ht="33.75" x14ac:dyDescent="0.2">
      <c r="B305" s="364" t="s">
        <v>85</v>
      </c>
      <c r="C305" s="365"/>
      <c r="D305" s="365"/>
      <c r="E305" s="366" t="str">
        <f>G292</f>
        <v>General Service 50 to 2999 kW</v>
      </c>
      <c r="F305" s="366" t="str">
        <f>H292</f>
        <v>General Service 3000 to 4999 kW</v>
      </c>
      <c r="G305" s="366" t="str">
        <f>I292</f>
        <v>Street Lighting</v>
      </c>
      <c r="H305" s="362" t="str">
        <f>J292</f>
        <v>Sentinel Lighting</v>
      </c>
      <c r="I305" s="362" t="str">
        <f>L292</f>
        <v>TOTAL</v>
      </c>
    </row>
    <row r="306" spans="2:13" ht="15" customHeight="1" x14ac:dyDescent="0.2">
      <c r="B306" s="115" t="s">
        <v>115</v>
      </c>
      <c r="C306" s="116"/>
      <c r="D306" s="116"/>
      <c r="E306" s="116"/>
      <c r="F306" s="116"/>
      <c r="G306" s="116"/>
      <c r="H306" s="116"/>
      <c r="I306" s="117"/>
    </row>
    <row r="307" spans="2:13" ht="15" customHeight="1" x14ac:dyDescent="0.2">
      <c r="B307" s="122">
        <f>'Exhibit 3 Tables'!B225</f>
        <v>1999</v>
      </c>
      <c r="C307" s="123"/>
      <c r="D307" s="123"/>
      <c r="E307" s="124">
        <f>'Rate Class Load Model'!B2</f>
        <v>604561.49</v>
      </c>
      <c r="F307" s="124">
        <f>'Rate Class Load Model'!C2</f>
        <v>200911.4</v>
      </c>
      <c r="G307" s="124">
        <f>'Rate Class Load Model'!D2</f>
        <v>8604</v>
      </c>
      <c r="H307" s="124">
        <f>'Rate Class Load Model'!E2</f>
        <v>1469</v>
      </c>
      <c r="I307" s="73">
        <f>SUM(E307:H307)</f>
        <v>815545.89</v>
      </c>
      <c r="K307" s="75"/>
      <c r="M307" s="75"/>
    </row>
    <row r="308" spans="2:13" ht="15" customHeight="1" x14ac:dyDescent="0.2">
      <c r="B308" s="122">
        <f>'Exhibit 3 Tables'!B226</f>
        <v>2000</v>
      </c>
      <c r="C308" s="123"/>
      <c r="D308" s="123"/>
      <c r="E308" s="124">
        <f>'Rate Class Load Model'!B3</f>
        <v>615896.57999999996</v>
      </c>
      <c r="F308" s="124">
        <f>'Rate Class Load Model'!C3</f>
        <v>210331.37</v>
      </c>
      <c r="G308" s="124">
        <f>'Rate Class Load Model'!D3</f>
        <v>8004.8</v>
      </c>
      <c r="H308" s="124">
        <f>'Rate Class Load Model'!E3</f>
        <v>1026</v>
      </c>
      <c r="I308" s="73">
        <f t="shared" ref="I308:I321" si="90">SUM(E308:H308)</f>
        <v>835258.75</v>
      </c>
      <c r="K308" s="75"/>
      <c r="M308" s="75"/>
    </row>
    <row r="309" spans="2:13" ht="15" customHeight="1" x14ac:dyDescent="0.2">
      <c r="B309" s="122">
        <f>'Exhibit 3 Tables'!B227</f>
        <v>2001</v>
      </c>
      <c r="C309" s="123"/>
      <c r="D309" s="123"/>
      <c r="E309" s="124">
        <f>'Rate Class Load Model'!B4</f>
        <v>618479.91</v>
      </c>
      <c r="F309" s="124">
        <f>'Rate Class Load Model'!C4</f>
        <v>182444.07</v>
      </c>
      <c r="G309" s="124">
        <f>'Rate Class Load Model'!D4</f>
        <v>8801.16</v>
      </c>
      <c r="H309" s="124">
        <f>'Rate Class Load Model'!E4</f>
        <v>1013</v>
      </c>
      <c r="I309" s="73">
        <f t="shared" si="90"/>
        <v>810738.14</v>
      </c>
      <c r="K309" s="75"/>
      <c r="M309" s="75"/>
    </row>
    <row r="310" spans="2:13" ht="15" customHeight="1" x14ac:dyDescent="0.2">
      <c r="B310" s="122">
        <f>'Exhibit 3 Tables'!B228</f>
        <v>2002</v>
      </c>
      <c r="C310" s="123"/>
      <c r="D310" s="123"/>
      <c r="E310" s="124">
        <f>'Rate Class Load Model'!B5</f>
        <v>599393.30000000005</v>
      </c>
      <c r="F310" s="124">
        <f>'Rate Class Load Model'!C5</f>
        <v>116994.94</v>
      </c>
      <c r="G310" s="124">
        <f>'Rate Class Load Model'!D5</f>
        <v>8805.7199999999993</v>
      </c>
      <c r="H310" s="124">
        <f>'Rate Class Load Model'!E5</f>
        <v>1494.9</v>
      </c>
      <c r="I310" s="73">
        <f t="shared" si="90"/>
        <v>726688.86</v>
      </c>
      <c r="K310" s="75"/>
      <c r="M310" s="75"/>
    </row>
    <row r="311" spans="2:13" ht="15" customHeight="1" x14ac:dyDescent="0.2">
      <c r="B311" s="122">
        <f>'Exhibit 3 Tables'!B229</f>
        <v>2003</v>
      </c>
      <c r="C311" s="123"/>
      <c r="D311" s="123"/>
      <c r="E311" s="124">
        <f>'Rate Class Load Model'!B6</f>
        <v>593814.14</v>
      </c>
      <c r="F311" s="124">
        <f>'Rate Class Load Model'!C6</f>
        <v>107185.13</v>
      </c>
      <c r="G311" s="124">
        <f>'Rate Class Load Model'!D6</f>
        <v>9600</v>
      </c>
      <c r="H311" s="124">
        <f>'Rate Class Load Model'!E6</f>
        <v>1608.2</v>
      </c>
      <c r="I311" s="73">
        <f t="shared" si="90"/>
        <v>712207.47</v>
      </c>
      <c r="K311" s="75"/>
      <c r="M311" s="75"/>
    </row>
    <row r="312" spans="2:13" ht="15" customHeight="1" x14ac:dyDescent="0.2">
      <c r="B312" s="122">
        <f>'Exhibit 3 Tables'!B230</f>
        <v>2004</v>
      </c>
      <c r="C312" s="85"/>
      <c r="D312" s="85"/>
      <c r="E312" s="124">
        <f>'Rate Class Load Model'!B7</f>
        <v>590317.42000000004</v>
      </c>
      <c r="F312" s="124">
        <f>'Rate Class Load Model'!C7</f>
        <v>109315.81</v>
      </c>
      <c r="G312" s="124">
        <f>'Rate Class Load Model'!D7</f>
        <v>9618.24</v>
      </c>
      <c r="H312" s="124">
        <f>'Rate Class Load Model'!E7</f>
        <v>1734.77</v>
      </c>
      <c r="I312" s="73">
        <f t="shared" si="90"/>
        <v>710986.23999999999</v>
      </c>
      <c r="K312" s="75"/>
      <c r="M312" s="75"/>
    </row>
    <row r="313" spans="2:13" ht="15" customHeight="1" x14ac:dyDescent="0.2">
      <c r="B313" s="122">
        <f>'Exhibit 3 Tables'!B231</f>
        <v>2005</v>
      </c>
      <c r="C313" s="85"/>
      <c r="D313" s="85"/>
      <c r="E313" s="124">
        <f>'Rate Class Load Model'!B8</f>
        <v>613159.62</v>
      </c>
      <c r="F313" s="124">
        <f>'Rate Class Load Model'!C8</f>
        <v>109679.8</v>
      </c>
      <c r="G313" s="124">
        <f>'Rate Class Load Model'!D8</f>
        <v>9192</v>
      </c>
      <c r="H313" s="124">
        <f>'Rate Class Load Model'!E8</f>
        <v>1703.85</v>
      </c>
      <c r="I313" s="73">
        <f t="shared" si="90"/>
        <v>733735.27</v>
      </c>
      <c r="K313" s="75"/>
      <c r="M313" s="75"/>
    </row>
    <row r="314" spans="2:13" ht="15" customHeight="1" x14ac:dyDescent="0.2">
      <c r="B314" s="122">
        <f>'Exhibit 3 Tables'!B232</f>
        <v>2006</v>
      </c>
      <c r="C314" s="85"/>
      <c r="D314" s="85"/>
      <c r="E314" s="124">
        <f>'Rate Class Load Model'!B9</f>
        <v>602160.47</v>
      </c>
      <c r="F314" s="124">
        <f>'Rate Class Load Model'!C9</f>
        <v>96179.77</v>
      </c>
      <c r="G314" s="124">
        <f>'Rate Class Load Model'!D9</f>
        <v>9192</v>
      </c>
      <c r="H314" s="124">
        <f>'Rate Class Load Model'!E9</f>
        <v>1594.68</v>
      </c>
      <c r="I314" s="73">
        <f t="shared" si="90"/>
        <v>709126.92</v>
      </c>
      <c r="K314" s="75"/>
      <c r="M314" s="75"/>
    </row>
    <row r="315" spans="2:13" ht="15" customHeight="1" x14ac:dyDescent="0.2">
      <c r="B315" s="122">
        <f>'Exhibit 3 Tables'!B233</f>
        <v>2007</v>
      </c>
      <c r="C315" s="85"/>
      <c r="D315" s="85"/>
      <c r="E315" s="124">
        <f>'Rate Class Load Model'!B10</f>
        <v>604779.68000000005</v>
      </c>
      <c r="F315" s="124">
        <f>'Rate Class Load Model'!C10</f>
        <v>95579.78</v>
      </c>
      <c r="G315" s="124">
        <f>'Rate Class Load Model'!D10</f>
        <v>9238.56</v>
      </c>
      <c r="H315" s="124">
        <f>'Rate Class Load Model'!E10</f>
        <v>1542.98</v>
      </c>
      <c r="I315" s="73">
        <f t="shared" si="90"/>
        <v>711141.00000000012</v>
      </c>
      <c r="K315" s="75"/>
      <c r="M315" s="75"/>
    </row>
    <row r="316" spans="2:13" ht="15" customHeight="1" x14ac:dyDescent="0.2">
      <c r="B316" s="122">
        <f>'Exhibit 3 Tables'!B234</f>
        <v>2008</v>
      </c>
      <c r="C316" s="85"/>
      <c r="D316" s="85"/>
      <c r="E316" s="124">
        <f>'Rate Class Load Model'!B11</f>
        <v>602776.31999999995</v>
      </c>
      <c r="F316" s="124">
        <f>'Rate Class Load Model'!C11</f>
        <v>88903.8</v>
      </c>
      <c r="G316" s="124">
        <f>'Rate Class Load Model'!D11</f>
        <v>9270.1200000000008</v>
      </c>
      <c r="H316" s="124">
        <f>'Rate Class Load Model'!E11</f>
        <v>1530.54</v>
      </c>
      <c r="I316" s="73">
        <f t="shared" si="90"/>
        <v>702480.78</v>
      </c>
      <c r="K316" s="75"/>
      <c r="M316" s="75"/>
    </row>
    <row r="317" spans="2:13" ht="15" customHeight="1" x14ac:dyDescent="0.2">
      <c r="B317" s="122">
        <f>'Exhibit 3 Tables'!B235</f>
        <v>2009</v>
      </c>
      <c r="C317" s="123"/>
      <c r="D317" s="123"/>
      <c r="E317" s="124">
        <f>'Rate Class Load Model'!B12</f>
        <v>584819</v>
      </c>
      <c r="F317" s="124">
        <f>'Rate Class Load Model'!C12</f>
        <v>79624</v>
      </c>
      <c r="G317" s="124">
        <f>'Rate Class Load Model'!D12</f>
        <v>9285</v>
      </c>
      <c r="H317" s="124">
        <f>'Rate Class Load Model'!E12</f>
        <v>1506</v>
      </c>
      <c r="I317" s="73">
        <f t="shared" si="90"/>
        <v>675234</v>
      </c>
      <c r="K317" s="75"/>
      <c r="M317" s="75"/>
    </row>
    <row r="318" spans="2:13" ht="15" customHeight="1" x14ac:dyDescent="0.2">
      <c r="B318" s="122">
        <f>'Exhibit 3 Tables'!B236</f>
        <v>2010</v>
      </c>
      <c r="C318" s="123"/>
      <c r="D318" s="123"/>
      <c r="E318" s="124">
        <f>'Rate Class Load Model'!B13</f>
        <v>588203.21</v>
      </c>
      <c r="F318" s="124">
        <f>'Rate Class Load Model'!C13</f>
        <v>78059.55</v>
      </c>
      <c r="G318" s="124">
        <f>'Rate Class Load Model'!D13</f>
        <v>9284.76</v>
      </c>
      <c r="H318" s="124">
        <f>'Rate Class Load Model'!E13</f>
        <v>1541.04</v>
      </c>
      <c r="I318" s="73">
        <f t="shared" si="90"/>
        <v>677088.56</v>
      </c>
      <c r="K318" s="75"/>
      <c r="M318" s="75"/>
    </row>
    <row r="319" spans="2:13" ht="15" customHeight="1" x14ac:dyDescent="0.2">
      <c r="B319" s="122">
        <f>'Exhibit 3 Tables'!B237</f>
        <v>2011</v>
      </c>
      <c r="C319" s="123"/>
      <c r="D319" s="123"/>
      <c r="E319" s="124">
        <f>'Rate Class Load Model'!B14</f>
        <v>582945.86</v>
      </c>
      <c r="F319" s="124">
        <f>'Rate Class Load Model'!C14</f>
        <v>70473.350000000006</v>
      </c>
      <c r="G319" s="124">
        <f>'Rate Class Load Model'!D14</f>
        <v>9041.75</v>
      </c>
      <c r="H319" s="124">
        <f>'Rate Class Load Model'!E14</f>
        <v>1286.7100000000016</v>
      </c>
      <c r="I319" s="73">
        <f t="shared" si="90"/>
        <v>663747.66999999993</v>
      </c>
      <c r="K319" s="75"/>
      <c r="M319" s="75"/>
    </row>
    <row r="320" spans="2:13" ht="15" customHeight="1" x14ac:dyDescent="0.2">
      <c r="B320" s="122">
        <f>'Exhibit 3 Tables'!B238</f>
        <v>2012</v>
      </c>
      <c r="C320" s="123"/>
      <c r="D320" s="123"/>
      <c r="E320" s="124">
        <f>'Rate Class Load Model'!B15</f>
        <v>540969</v>
      </c>
      <c r="F320" s="124">
        <f>'Rate Class Load Model'!C15</f>
        <v>68480</v>
      </c>
      <c r="G320" s="124">
        <f>'Rate Class Load Model'!D15</f>
        <v>7788</v>
      </c>
      <c r="H320" s="124">
        <f>'Rate Class Load Model'!E15</f>
        <v>1601</v>
      </c>
      <c r="I320" s="73">
        <f t="shared" si="90"/>
        <v>618838</v>
      </c>
      <c r="K320" s="75"/>
      <c r="M320" s="75"/>
    </row>
    <row r="321" spans="2:13" ht="15" customHeight="1" x14ac:dyDescent="0.2">
      <c r="B321" s="122">
        <f>'Exhibit 3 Tables'!B239</f>
        <v>2013</v>
      </c>
      <c r="C321" s="123"/>
      <c r="D321" s="123"/>
      <c r="E321" s="124">
        <f>'Rate Class Load Model'!B16</f>
        <v>535312.51999999979</v>
      </c>
      <c r="F321" s="124">
        <f>'Rate Class Load Model'!C16</f>
        <v>69448.33</v>
      </c>
      <c r="G321" s="124">
        <f>'Rate Class Load Model'!D16</f>
        <v>6559.4</v>
      </c>
      <c r="H321" s="124">
        <f>'Rate Class Load Model'!E16</f>
        <v>1224.070000000002</v>
      </c>
      <c r="I321" s="73">
        <f t="shared" si="90"/>
        <v>612544.31999999972</v>
      </c>
      <c r="K321" s="75"/>
      <c r="M321" s="75"/>
    </row>
    <row r="322" spans="2:13" ht="15" customHeight="1" x14ac:dyDescent="0.2">
      <c r="B322" s="98"/>
      <c r="C322" s="98"/>
      <c r="D322" s="98"/>
      <c r="E322" s="78"/>
      <c r="F322" s="78"/>
      <c r="G322" s="78"/>
      <c r="H322" s="78"/>
    </row>
    <row r="323" spans="2:13" ht="15.75" customHeight="1" x14ac:dyDescent="0.2">
      <c r="B323" s="70" t="s">
        <v>284</v>
      </c>
      <c r="C323" s="70"/>
      <c r="D323" s="70"/>
      <c r="E323" s="83"/>
      <c r="F323" s="83"/>
      <c r="G323" s="83"/>
      <c r="H323" s="83"/>
    </row>
    <row r="324" spans="2:13" ht="33.75" x14ac:dyDescent="0.2">
      <c r="B324" s="360" t="s">
        <v>85</v>
      </c>
      <c r="C324" s="361"/>
      <c r="D324" s="361"/>
      <c r="E324" s="362" t="str">
        <f>E305</f>
        <v>General Service 50 to 2999 kW</v>
      </c>
      <c r="F324" s="362" t="str">
        <f>F305</f>
        <v>General Service 3000 to 4999 kW</v>
      </c>
      <c r="G324" s="362" t="str">
        <f>G305</f>
        <v>Street Lighting</v>
      </c>
      <c r="H324" s="362" t="str">
        <f>H305</f>
        <v>Sentinel Lighting</v>
      </c>
    </row>
    <row r="325" spans="2:13" ht="15" customHeight="1" x14ac:dyDescent="0.2">
      <c r="B325" s="115" t="s">
        <v>116</v>
      </c>
      <c r="C325" s="116"/>
      <c r="D325" s="116"/>
      <c r="E325" s="116"/>
      <c r="F325" s="116"/>
      <c r="G325" s="116"/>
      <c r="H325" s="117"/>
    </row>
    <row r="326" spans="2:13" ht="15" customHeight="1" x14ac:dyDescent="0.2">
      <c r="B326" s="122">
        <f>B307</f>
        <v>1999</v>
      </c>
      <c r="C326" s="123"/>
      <c r="D326" s="123"/>
      <c r="E326" s="130">
        <f>'Rate Class Load Model'!B23</f>
        <v>3.3499147519196076E-3</v>
      </c>
      <c r="F326" s="130">
        <f>'Rate Class Load Model'!C23</f>
        <v>2.8364616671922977E-3</v>
      </c>
      <c r="G326" s="130">
        <f>'Rate Class Load Model'!D23</f>
        <v>2.2355054596322902E-3</v>
      </c>
      <c r="H326" s="130">
        <f>'Rate Class Load Model'!E23</f>
        <v>1.5401551687984902E-3</v>
      </c>
    </row>
    <row r="327" spans="2:13" ht="15" customHeight="1" x14ac:dyDescent="0.2">
      <c r="B327" s="122">
        <f>B308</f>
        <v>2000</v>
      </c>
      <c r="C327" s="123"/>
      <c r="D327" s="123"/>
      <c r="E327" s="130">
        <f>'Rate Class Load Model'!B24</f>
        <v>3.2459793859549307E-3</v>
      </c>
      <c r="F327" s="130">
        <f>'Rate Class Load Model'!C24</f>
        <v>2.8805030086008804E-3</v>
      </c>
      <c r="G327" s="130">
        <f>'Rate Class Load Model'!D24</f>
        <v>2.4962952244570072E-3</v>
      </c>
      <c r="H327" s="130">
        <f>'Rate Class Load Model'!E24</f>
        <v>1.2177970571115128E-3</v>
      </c>
    </row>
    <row r="328" spans="2:13" ht="15" customHeight="1" x14ac:dyDescent="0.2">
      <c r="B328" s="122">
        <f>B309</f>
        <v>2001</v>
      </c>
      <c r="C328" s="123"/>
      <c r="D328" s="123"/>
      <c r="E328" s="130">
        <f>'Rate Class Load Model'!B25</f>
        <v>3.1939039255283585E-3</v>
      </c>
      <c r="F328" s="130">
        <f>'Rate Class Load Model'!C25</f>
        <v>2.6061511080684406E-3</v>
      </c>
      <c r="G328" s="130">
        <f>'Rate Class Load Model'!D25</f>
        <v>2.7872945799893413E-3</v>
      </c>
      <c r="H328" s="130">
        <f>'Rate Class Load Model'!E25</f>
        <v>1.320921280654697E-3</v>
      </c>
    </row>
    <row r="329" spans="2:13" ht="15" customHeight="1" x14ac:dyDescent="0.2">
      <c r="B329" s="122">
        <f>B310</f>
        <v>2002</v>
      </c>
      <c r="C329" s="123"/>
      <c r="D329" s="123"/>
      <c r="E329" s="130">
        <f>'Rate Class Load Model'!B26</f>
        <v>2.9819730211163996E-3</v>
      </c>
      <c r="F329" s="130">
        <f>'Rate Class Load Model'!C26</f>
        <v>1.9849986509306345E-3</v>
      </c>
      <c r="G329" s="130">
        <f>'Rate Class Load Model'!D26</f>
        <v>2.7879295919458272E-3</v>
      </c>
      <c r="H329" s="130">
        <f>'Rate Class Load Model'!E26</f>
        <v>2.1625320242509112E-3</v>
      </c>
    </row>
    <row r="330" spans="2:13" ht="15" customHeight="1" x14ac:dyDescent="0.2">
      <c r="B330" s="122">
        <f>B311</f>
        <v>2003</v>
      </c>
      <c r="C330" s="123"/>
      <c r="D330" s="123"/>
      <c r="E330" s="130">
        <f>'Rate Class Load Model'!B27</f>
        <v>2.9455371560739171E-3</v>
      </c>
      <c r="F330" s="130">
        <f>'Rate Class Load Model'!C27</f>
        <v>1.8948316689591266E-3</v>
      </c>
      <c r="G330" s="130">
        <f>'Rate Class Load Model'!D27</f>
        <v>2.9172851032525354E-3</v>
      </c>
      <c r="H330" s="130">
        <f>'Rate Class Load Model'!E27</f>
        <v>2.7079132492493882E-3</v>
      </c>
    </row>
    <row r="331" spans="2:13" ht="15" customHeight="1" x14ac:dyDescent="0.2">
      <c r="B331" s="90">
        <v>2004</v>
      </c>
      <c r="C331" s="85"/>
      <c r="D331" s="85"/>
      <c r="E331" s="130">
        <f>'Rate Class Load Model'!B28</f>
        <v>2.9041516878277316E-3</v>
      </c>
      <c r="F331" s="130">
        <f>'Rate Class Load Model'!C28</f>
        <v>1.8723968608451227E-3</v>
      </c>
      <c r="G331" s="130">
        <f>'Rate Class Load Model'!D28</f>
        <v>2.7877900878559192E-3</v>
      </c>
      <c r="H331" s="130">
        <f>'Rate Class Load Model'!E28</f>
        <v>2.7492487137515402E-3</v>
      </c>
    </row>
    <row r="332" spans="2:13" ht="15" customHeight="1" x14ac:dyDescent="0.2">
      <c r="B332" s="90">
        <v>2005</v>
      </c>
      <c r="C332" s="85"/>
      <c r="D332" s="85"/>
      <c r="E332" s="130">
        <f>'Rate Class Load Model'!B29</f>
        <v>2.9110987501077342E-3</v>
      </c>
      <c r="F332" s="130">
        <f>'Rate Class Load Model'!C29</f>
        <v>1.9222936332357473E-3</v>
      </c>
      <c r="G332" s="130">
        <f>'Rate Class Load Model'!D29</f>
        <v>2.794325971549019E-3</v>
      </c>
      <c r="H332" s="130">
        <f>'Rate Class Load Model'!E29</f>
        <v>2.7629302696138983E-3</v>
      </c>
    </row>
    <row r="333" spans="2:13" ht="15" customHeight="1" x14ac:dyDescent="0.2">
      <c r="B333" s="90">
        <v>2006</v>
      </c>
      <c r="C333" s="85"/>
      <c r="D333" s="85"/>
      <c r="E333" s="130">
        <f>'Rate Class Load Model'!B30</f>
        <v>2.907338493948509E-3</v>
      </c>
      <c r="F333" s="130">
        <f>'Rate Class Load Model'!C30</f>
        <v>1.8638402416147656E-3</v>
      </c>
      <c r="G333" s="130">
        <f>'Rate Class Load Model'!D30</f>
        <v>2.8038584093231732E-3</v>
      </c>
      <c r="H333" s="130">
        <f>'Rate Class Load Model'!E30</f>
        <v>2.7591402316395359E-3</v>
      </c>
    </row>
    <row r="334" spans="2:13" ht="15" customHeight="1" x14ac:dyDescent="0.2">
      <c r="B334" s="90">
        <v>2007</v>
      </c>
      <c r="C334" s="85"/>
      <c r="D334" s="85"/>
      <c r="E334" s="130">
        <f>'Rate Class Load Model'!B31</f>
        <v>2.8332690196822634E-3</v>
      </c>
      <c r="F334" s="130">
        <f>'Rate Class Load Model'!C31</f>
        <v>1.9144018147966891E-3</v>
      </c>
      <c r="G334" s="130">
        <f>'Rate Class Load Model'!D31</f>
        <v>2.7943259687032078E-3</v>
      </c>
      <c r="H334" s="130">
        <f>'Rate Class Load Model'!E31</f>
        <v>2.7141457534159059E-3</v>
      </c>
    </row>
    <row r="335" spans="2:13" ht="15" customHeight="1" x14ac:dyDescent="0.2">
      <c r="B335" s="90">
        <v>2008</v>
      </c>
      <c r="C335" s="85"/>
      <c r="D335" s="85"/>
      <c r="E335" s="130">
        <f>'Rate Class Load Model'!B32</f>
        <v>2.7943826820251453E-3</v>
      </c>
      <c r="F335" s="130">
        <f>'Rate Class Load Model'!C32</f>
        <v>1.9965772726197144E-3</v>
      </c>
      <c r="G335" s="130">
        <f>'Rate Class Load Model'!D32</f>
        <v>2.7859105829666025E-3</v>
      </c>
      <c r="H335" s="130">
        <f>'Rate Class Load Model'!E32</f>
        <v>2.6963539605568167E-3</v>
      </c>
    </row>
    <row r="336" spans="2:13" ht="15" customHeight="1" x14ac:dyDescent="0.2">
      <c r="B336" s="122">
        <f>B317</f>
        <v>2009</v>
      </c>
      <c r="C336" s="123"/>
      <c r="D336" s="123"/>
      <c r="E336" s="130">
        <f>'Rate Class Load Model'!B33</f>
        <v>2.7841363864539673E-3</v>
      </c>
      <c r="F336" s="130">
        <f>'Rate Class Load Model'!C33</f>
        <v>2.1054862927687304E-3</v>
      </c>
      <c r="G336" s="130">
        <f>'Rate Class Load Model'!D33</f>
        <v>2.7943646888488462E-3</v>
      </c>
      <c r="H336" s="130">
        <f>'Rate Class Load Model'!E33</f>
        <v>2.6991866200064647E-3</v>
      </c>
    </row>
    <row r="337" spans="2:11" ht="15" customHeight="1" x14ac:dyDescent="0.2">
      <c r="B337" s="122">
        <f>B318</f>
        <v>2010</v>
      </c>
      <c r="C337" s="123"/>
      <c r="D337" s="123"/>
      <c r="E337" s="130">
        <f>'Rate Class Load Model'!B34</f>
        <v>2.5569857303286057E-3</v>
      </c>
      <c r="F337" s="130">
        <f>'Rate Class Load Model'!C34</f>
        <v>1.9025873182317073E-3</v>
      </c>
      <c r="G337" s="130">
        <f>'Rate Class Load Model'!D34</f>
        <v>2.7930893351157384E-3</v>
      </c>
      <c r="H337" s="130">
        <f>'Rate Class Load Model'!E34</f>
        <v>2.7063918380993779E-3</v>
      </c>
    </row>
    <row r="338" spans="2:11" ht="15" customHeight="1" x14ac:dyDescent="0.2">
      <c r="B338" s="122">
        <f>B319</f>
        <v>2011</v>
      </c>
      <c r="C338" s="123"/>
      <c r="D338" s="123"/>
      <c r="E338" s="130">
        <f>'Rate Class Load Model'!B35</f>
        <v>2.5163054682211241E-3</v>
      </c>
      <c r="F338" s="130">
        <f>'Rate Class Load Model'!C35</f>
        <v>1.9002246499930132E-3</v>
      </c>
      <c r="G338" s="130">
        <f>'Rate Class Load Model'!D35</f>
        <v>2.821911309656568E-3</v>
      </c>
      <c r="H338" s="130">
        <f>'Rate Class Load Model'!E35</f>
        <v>2.6713843663505629E-3</v>
      </c>
    </row>
    <row r="339" spans="2:11" ht="15" customHeight="1" x14ac:dyDescent="0.2">
      <c r="B339" s="122">
        <f>B320</f>
        <v>2012</v>
      </c>
      <c r="C339" s="123"/>
      <c r="D339" s="123"/>
      <c r="E339" s="130">
        <f>'Rate Class Load Model'!B36</f>
        <v>2.4184037792997757E-3</v>
      </c>
      <c r="F339" s="130">
        <f>'Rate Class Load Model'!C36</f>
        <v>1.9169845034718248E-3</v>
      </c>
      <c r="G339" s="130">
        <f>'Rate Class Load Model'!D36</f>
        <v>2.7911592603684565E-3</v>
      </c>
      <c r="H339" s="130">
        <f>'Rate Class Load Model'!E36</f>
        <v>3.2823554084001525E-3</v>
      </c>
    </row>
    <row r="340" spans="2:11" ht="15" customHeight="1" x14ac:dyDescent="0.2">
      <c r="B340" s="122">
        <f>B321</f>
        <v>2013</v>
      </c>
      <c r="C340" s="123"/>
      <c r="D340" s="123"/>
      <c r="E340" s="130">
        <f>'Rate Class Load Model'!B37</f>
        <v>2.471268703813249E-3</v>
      </c>
      <c r="F340" s="130">
        <f>'Rate Class Load Model'!C37</f>
        <v>1.9412511676483778E-3</v>
      </c>
      <c r="G340" s="130">
        <f>'Rate Class Load Model'!D37</f>
        <v>2.7932924851604367E-3</v>
      </c>
      <c r="H340" s="130">
        <f>'Rate Class Load Model'!E37</f>
        <v>2.7572210621082138E-3</v>
      </c>
    </row>
    <row r="341" spans="2:11" ht="15" customHeight="1" x14ac:dyDescent="0.2">
      <c r="B341" s="316" t="s">
        <v>283</v>
      </c>
      <c r="C341" s="317"/>
      <c r="D341" s="317"/>
      <c r="E341" s="325">
        <f>'Rate Class Load Model'!B40</f>
        <v>2.4483211519910775E-3</v>
      </c>
      <c r="F341" s="325">
        <f>'Rate Class Load Model'!C40</f>
        <v>1.9589566674496593E-3</v>
      </c>
      <c r="G341" s="325">
        <f>'Rate Class Load Model'!D40</f>
        <v>2.7952671899620653E-3</v>
      </c>
      <c r="H341" s="325">
        <f>'Rate Class Load Model'!E40</f>
        <v>2.9397884298280313E-3</v>
      </c>
    </row>
    <row r="342" spans="2:11" ht="15" customHeight="1" x14ac:dyDescent="0.2">
      <c r="B342" s="98"/>
      <c r="C342" s="98"/>
      <c r="D342" s="98"/>
      <c r="E342" s="82"/>
      <c r="F342" s="82"/>
      <c r="G342" s="82"/>
    </row>
    <row r="343" spans="2:11" ht="15" customHeight="1" x14ac:dyDescent="0.2">
      <c r="B343" s="70" t="s">
        <v>285</v>
      </c>
      <c r="C343" s="70"/>
      <c r="D343" s="70"/>
      <c r="E343" s="83"/>
      <c r="F343" s="83"/>
      <c r="G343" s="83"/>
    </row>
    <row r="344" spans="2:11" ht="33.75" x14ac:dyDescent="0.2">
      <c r="B344" s="360" t="s">
        <v>85</v>
      </c>
      <c r="C344" s="361"/>
      <c r="D344" s="361"/>
      <c r="E344" s="362" t="str">
        <f>E324</f>
        <v>General Service 50 to 2999 kW</v>
      </c>
      <c r="F344" s="362" t="str">
        <f>F324</f>
        <v>General Service 3000 to 4999 kW</v>
      </c>
      <c r="G344" s="362" t="str">
        <f>G324</f>
        <v>Street Lighting</v>
      </c>
      <c r="H344" s="362" t="str">
        <f>H324</f>
        <v>Sentinel Lighting</v>
      </c>
      <c r="I344" s="362" t="str">
        <f>I305</f>
        <v>TOTAL</v>
      </c>
    </row>
    <row r="345" spans="2:11" ht="15" customHeight="1" x14ac:dyDescent="0.2">
      <c r="B345" s="316" t="s">
        <v>117</v>
      </c>
      <c r="C345" s="317"/>
      <c r="D345" s="317"/>
      <c r="E345" s="317"/>
      <c r="F345" s="317"/>
      <c r="G345" s="318"/>
      <c r="H345" s="127"/>
      <c r="I345" s="120"/>
    </row>
    <row r="346" spans="2:11" ht="11.25" x14ac:dyDescent="0.2">
      <c r="B346" s="316" t="e">
        <f>#REF!</f>
        <v>#REF!</v>
      </c>
      <c r="C346" s="317"/>
      <c r="D346" s="317"/>
      <c r="E346" s="92" t="e">
        <f>E341*#REF!*1000000</f>
        <v>#REF!</v>
      </c>
      <c r="F346" s="92" t="e">
        <f>F341*#REF!*1000000-'Rate Class Load Model'!K20</f>
        <v>#REF!</v>
      </c>
      <c r="G346" s="92">
        <f>'Rate Class Load Model'!D17</f>
        <v>5677.1200000000008</v>
      </c>
      <c r="H346" s="92" t="e">
        <f>H341*#REF!*1000000</f>
        <v>#REF!</v>
      </c>
      <c r="I346" s="73" t="e">
        <f>SUM(E346:H346)</f>
        <v>#REF!</v>
      </c>
      <c r="K346" s="75"/>
    </row>
    <row r="347" spans="2:11" ht="15" customHeight="1" x14ac:dyDescent="0.2">
      <c r="B347" s="316" t="str">
        <f>B302</f>
        <v>2015 Test - Normalized</v>
      </c>
      <c r="C347" s="317"/>
      <c r="D347" s="317"/>
      <c r="E347" s="92">
        <f>E341*G302*1000000+6000</f>
        <v>515630.40702892549</v>
      </c>
      <c r="F347" s="92">
        <f>F341*H302*1000000-'Rate Class Load Model'!O20</f>
        <v>33621.425697666316</v>
      </c>
      <c r="G347" s="92">
        <f>'Rate Class Load Model'!D18</f>
        <v>5641.08</v>
      </c>
      <c r="H347" s="92">
        <f>H341*J302*1000000</f>
        <v>1193.4344347067597</v>
      </c>
      <c r="I347" s="73">
        <f>SUM(E347:H347)</f>
        <v>556086.34716129862</v>
      </c>
      <c r="K347" s="75"/>
    </row>
    <row r="348" spans="2:11" ht="15" customHeight="1" x14ac:dyDescent="0.2">
      <c r="B348" s="69"/>
      <c r="C348" s="69"/>
      <c r="D348" s="69"/>
    </row>
    <row r="349" spans="2:11" ht="15" customHeight="1" x14ac:dyDescent="0.2">
      <c r="B349" s="70" t="s">
        <v>286</v>
      </c>
      <c r="C349" s="70"/>
      <c r="D349" s="70"/>
      <c r="E349" s="83"/>
      <c r="F349" s="83"/>
      <c r="G349" s="83"/>
    </row>
    <row r="350" spans="2:11" ht="22.5" x14ac:dyDescent="0.2">
      <c r="B350" s="410"/>
      <c r="C350" s="411"/>
      <c r="D350" s="411"/>
      <c r="E350" s="412"/>
      <c r="F350" s="363" t="str">
        <f>B20</f>
        <v xml:space="preserve">2010 Actual </v>
      </c>
      <c r="G350" s="363" t="str">
        <f>B21</f>
        <v xml:space="preserve">2011 Actual </v>
      </c>
      <c r="H350" s="363" t="str">
        <f>B22</f>
        <v xml:space="preserve">2012 Actual </v>
      </c>
      <c r="I350" s="363" t="str">
        <f>B23</f>
        <v xml:space="preserve">2013 Actual </v>
      </c>
      <c r="J350" s="363" t="str">
        <f>B24</f>
        <v>2014 Bridge - Normalized</v>
      </c>
      <c r="K350" s="363" t="str">
        <f>B25</f>
        <v>2015 Test - Normalized</v>
      </c>
    </row>
    <row r="351" spans="2:11" ht="15" customHeight="1" x14ac:dyDescent="0.2">
      <c r="B351" s="407" t="s">
        <v>61</v>
      </c>
      <c r="C351" s="408"/>
      <c r="D351" s="408"/>
      <c r="E351" s="409"/>
      <c r="F351" s="94">
        <f>Summary!M4</f>
        <v>592105953.84615386</v>
      </c>
      <c r="G351" s="94">
        <f>Summary!N4</f>
        <v>593738607.69230771</v>
      </c>
      <c r="H351" s="94">
        <f>Summary!O4</f>
        <v>572612692.67601395</v>
      </c>
      <c r="I351" s="94">
        <f>Summary!P4</f>
        <v>573172084.77666664</v>
      </c>
      <c r="J351" s="94"/>
      <c r="K351" s="94"/>
    </row>
    <row r="352" spans="2:11" ht="15" customHeight="1" x14ac:dyDescent="0.2">
      <c r="B352" s="407" t="s">
        <v>141</v>
      </c>
      <c r="C352" s="408"/>
      <c r="D352" s="408"/>
      <c r="E352" s="409"/>
      <c r="F352" s="94">
        <f>Summary!M5</f>
        <v>586298736.03698146</v>
      </c>
      <c r="G352" s="94">
        <f>Summary!N5</f>
        <v>593880122.45326924</v>
      </c>
      <c r="H352" s="94">
        <f>Summary!O5</f>
        <v>561745318.85782051</v>
      </c>
      <c r="I352" s="94">
        <f>Summary!P5</f>
        <v>571754144.49538946</v>
      </c>
      <c r="J352" s="94">
        <f>Summary!Q5</f>
        <v>573475045.82229114</v>
      </c>
      <c r="K352" s="94">
        <f>Summary!R5</f>
        <v>570295995.86402392</v>
      </c>
    </row>
    <row r="353" spans="2:11" ht="11.25" x14ac:dyDescent="0.2">
      <c r="B353" s="413" t="s">
        <v>118</v>
      </c>
      <c r="C353" s="414"/>
      <c r="D353" s="414"/>
      <c r="E353" s="415"/>
      <c r="F353" s="108">
        <f>F352/F351-1</f>
        <v>-9.8077341925889572E-3</v>
      </c>
      <c r="G353" s="108">
        <f>G352/G351-1</f>
        <v>2.3834522318089135E-4</v>
      </c>
      <c r="H353" s="108">
        <f>H352/H351-1</f>
        <v>-1.8978576544306902E-2</v>
      </c>
      <c r="I353" s="108">
        <f>I352/I351-1</f>
        <v>-2.4738474167486091E-3</v>
      </c>
      <c r="J353" s="72"/>
      <c r="K353" s="72"/>
    </row>
    <row r="354" spans="2:11" ht="11.25" x14ac:dyDescent="0.2">
      <c r="B354" s="313"/>
      <c r="C354" s="314"/>
      <c r="D354" s="314"/>
      <c r="E354" s="315"/>
      <c r="F354" s="109"/>
      <c r="G354" s="109"/>
      <c r="H354" s="109"/>
      <c r="I354" s="109"/>
      <c r="J354" s="72"/>
      <c r="K354" s="72"/>
    </row>
    <row r="355" spans="2:11" ht="11.25" x14ac:dyDescent="0.2">
      <c r="B355" s="313" t="s">
        <v>1</v>
      </c>
      <c r="C355" s="314"/>
      <c r="D355" s="314"/>
      <c r="E355" s="315"/>
      <c r="F355" s="109"/>
      <c r="G355" s="109"/>
      <c r="H355" s="109"/>
      <c r="I355" s="109"/>
      <c r="J355" s="326">
        <f>'Rate Class Energy Model'!F26</f>
        <v>1.0443197339687631</v>
      </c>
      <c r="K355" s="326">
        <f>J355</f>
        <v>1.0443197339687631</v>
      </c>
    </row>
    <row r="356" spans="2:11" ht="11.25" x14ac:dyDescent="0.2">
      <c r="B356" s="313"/>
      <c r="C356" s="314"/>
      <c r="D356" s="314"/>
      <c r="E356" s="315"/>
      <c r="F356" s="109"/>
      <c r="G356" s="109"/>
      <c r="H356" s="109"/>
      <c r="I356" s="109"/>
      <c r="J356" s="94"/>
      <c r="K356" s="72"/>
    </row>
    <row r="357" spans="2:11" ht="11.25" x14ac:dyDescent="0.2">
      <c r="B357" s="416" t="s">
        <v>287</v>
      </c>
      <c r="C357" s="417"/>
      <c r="D357" s="417"/>
      <c r="E357" s="418"/>
      <c r="F357" s="109"/>
      <c r="G357" s="109"/>
      <c r="H357" s="109"/>
      <c r="I357" s="109"/>
      <c r="J357" s="94">
        <f>J352/J355</f>
        <v>549137421.39382434</v>
      </c>
      <c r="K357" s="94">
        <f>K352/K355</f>
        <v>546093286.67639852</v>
      </c>
    </row>
    <row r="358" spans="2:11" ht="11.25" x14ac:dyDescent="0.2">
      <c r="B358" s="419" t="s">
        <v>142</v>
      </c>
      <c r="C358" s="420"/>
      <c r="D358" s="420"/>
      <c r="E358" s="421"/>
      <c r="F358" s="109"/>
      <c r="G358" s="109"/>
      <c r="H358" s="109"/>
      <c r="I358" s="109"/>
      <c r="J358" s="73" t="e">
        <f>'Rate Class Energy Model'!#REF!</f>
        <v>#REF!</v>
      </c>
      <c r="K358" s="73">
        <f>'Rate Class Energy Model'!P74</f>
        <v>8099678.2063688152</v>
      </c>
    </row>
    <row r="359" spans="2:11" ht="11.25" customHeight="1" x14ac:dyDescent="0.2">
      <c r="B359" s="413" t="s">
        <v>288</v>
      </c>
      <c r="C359" s="414"/>
      <c r="D359" s="414"/>
      <c r="E359" s="414"/>
      <c r="F359" s="111"/>
      <c r="G359" s="109"/>
      <c r="H359" s="109"/>
      <c r="I359" s="109"/>
      <c r="J359" s="73" t="e">
        <f>-'Rate Class Energy Model'!#REF!</f>
        <v>#REF!</v>
      </c>
      <c r="K359" s="73">
        <f>-'Rate Class Energy Model'!K85</f>
        <v>17254810.307607245</v>
      </c>
    </row>
    <row r="360" spans="2:11" ht="11.25" x14ac:dyDescent="0.2">
      <c r="B360" s="407" t="s">
        <v>289</v>
      </c>
      <c r="C360" s="408"/>
      <c r="D360" s="408"/>
      <c r="E360" s="409"/>
      <c r="F360" s="94">
        <f>Summary!M12</f>
        <v>566701778.33999741</v>
      </c>
      <c r="G360" s="94">
        <f>Summary!N12</f>
        <v>564905304.29000294</v>
      </c>
      <c r="H360" s="94">
        <f>Summary!O12</f>
        <v>548341092.05000055</v>
      </c>
      <c r="I360" s="94">
        <f>Summary!P12</f>
        <v>548196762.3900007</v>
      </c>
      <c r="J360" s="94" t="e">
        <f>J357-J358-J359</f>
        <v>#REF!</v>
      </c>
      <c r="K360" s="94">
        <f>K357-K358-K359</f>
        <v>520738798.16242248</v>
      </c>
    </row>
    <row r="361" spans="2:11" customFormat="1" ht="15" customHeight="1" x14ac:dyDescent="0.2"/>
    <row r="362" spans="2:11" customFormat="1" ht="15" customHeight="1" x14ac:dyDescent="0.2"/>
    <row r="363" spans="2:11" customFormat="1" ht="15" customHeight="1" x14ac:dyDescent="0.2">
      <c r="B363" s="70" t="s">
        <v>294</v>
      </c>
    </row>
    <row r="364" spans="2:11" ht="22.5" x14ac:dyDescent="0.2">
      <c r="B364" s="368"/>
      <c r="C364" s="369"/>
      <c r="D364" s="369"/>
      <c r="E364" s="363" t="str">
        <f>B7</f>
        <v>2010 Board Approved</v>
      </c>
      <c r="F364" s="363" t="str">
        <f>B20</f>
        <v xml:space="preserve">2010 Actual </v>
      </c>
      <c r="G364" s="363" t="str">
        <f>B21</f>
        <v xml:space="preserve">2011 Actual </v>
      </c>
      <c r="H364" s="363" t="str">
        <f>B22</f>
        <v xml:space="preserve">2012 Actual </v>
      </c>
      <c r="I364" s="363" t="str">
        <f>B23</f>
        <v xml:space="preserve">2013 Actual </v>
      </c>
      <c r="J364" s="363" t="s">
        <v>331</v>
      </c>
      <c r="K364" s="363" t="str">
        <f>B25</f>
        <v>2015 Test - Normalized</v>
      </c>
    </row>
    <row r="365" spans="2:11" ht="15" customHeight="1" x14ac:dyDescent="0.2">
      <c r="B365" s="404" t="s">
        <v>123</v>
      </c>
      <c r="C365" s="405"/>
      <c r="D365" s="405"/>
      <c r="E365" s="405"/>
      <c r="F365" s="405"/>
      <c r="G365" s="405"/>
      <c r="H365" s="405"/>
      <c r="I365" s="405"/>
      <c r="J365" s="405"/>
      <c r="K365" s="406"/>
    </row>
    <row r="366" spans="2:11" ht="15" customHeight="1" x14ac:dyDescent="0.2">
      <c r="B366" s="90" t="s">
        <v>47</v>
      </c>
      <c r="C366" s="85"/>
      <c r="D366" s="85"/>
      <c r="E366" s="102">
        <f>E53</f>
        <v>21074.599775267321</v>
      </c>
      <c r="F366" s="94">
        <f>Summary!M20</f>
        <v>20952</v>
      </c>
      <c r="G366" s="94">
        <f>Summary!N20</f>
        <v>21096</v>
      </c>
      <c r="H366" s="94">
        <f>Summary!O20</f>
        <v>21074</v>
      </c>
      <c r="I366" s="94">
        <f>Summary!P20</f>
        <v>21108</v>
      </c>
      <c r="J366" s="94">
        <f>Summary!Q20</f>
        <v>21117</v>
      </c>
      <c r="K366" s="94">
        <f>Summary!R20</f>
        <v>21124</v>
      </c>
    </row>
    <row r="367" spans="2:11" ht="15" customHeight="1" x14ac:dyDescent="0.2">
      <c r="B367" s="90" t="s">
        <v>48</v>
      </c>
      <c r="C367" s="85"/>
      <c r="D367" s="85"/>
      <c r="E367" s="102">
        <f>E31*1000000</f>
        <v>214923813.26380745</v>
      </c>
      <c r="F367" s="94">
        <f>Summary!M21</f>
        <v>206535117.74999696</v>
      </c>
      <c r="G367" s="94">
        <f>Summary!N21</f>
        <v>207358082.23000044</v>
      </c>
      <c r="H367" s="94">
        <f>Summary!O21</f>
        <v>200614424.25000054</v>
      </c>
      <c r="I367" s="94">
        <f>Summary!P21</f>
        <v>207806639.26000017</v>
      </c>
      <c r="J367" s="94">
        <f>Summary!Q21</f>
        <v>205950079.75000036</v>
      </c>
      <c r="K367" s="94">
        <f>Summary!R21</f>
        <v>206919586.43430305</v>
      </c>
    </row>
    <row r="368" spans="2:11" ht="15" customHeight="1" x14ac:dyDescent="0.2">
      <c r="B368" s="398" t="s">
        <v>290</v>
      </c>
      <c r="C368" s="399"/>
      <c r="D368" s="399"/>
      <c r="E368" s="399"/>
      <c r="F368" s="399"/>
      <c r="G368" s="399"/>
      <c r="H368" s="399"/>
      <c r="I368" s="399"/>
      <c r="J368" s="399"/>
      <c r="K368" s="400"/>
    </row>
    <row r="369" spans="2:11" ht="15" customHeight="1" x14ac:dyDescent="0.2">
      <c r="B369" s="316" t="str">
        <f>B366</f>
        <v xml:space="preserve">  Customers</v>
      </c>
      <c r="C369" s="317"/>
      <c r="D369" s="317"/>
      <c r="E369" s="102"/>
      <c r="F369" s="327">
        <f>IF(ISERROR((F366-$E366)/$E366),0,(F366-$E366)/$E366)</f>
        <v>-5.8174189106642701E-3</v>
      </c>
      <c r="G369" s="327">
        <f t="shared" ref="G369:K370" si="91">IF(ISERROR((G366-$E366)/$E366),0,(G366-$E366)/$E366)</f>
        <v>1.0154510624583121E-3</v>
      </c>
      <c r="H369" s="327">
        <f t="shared" si="91"/>
        <v>-2.8459627879860161E-5</v>
      </c>
      <c r="I369" s="327">
        <f t="shared" si="91"/>
        <v>1.5848568935518607E-3</v>
      </c>
      <c r="J369" s="327">
        <f t="shared" si="91"/>
        <v>2.0119112668720222E-3</v>
      </c>
      <c r="K369" s="327">
        <f t="shared" si="91"/>
        <v>2.3440646683432586E-3</v>
      </c>
    </row>
    <row r="370" spans="2:11" ht="15" customHeight="1" x14ac:dyDescent="0.2">
      <c r="B370" s="316" t="str">
        <f>B367</f>
        <v xml:space="preserve">  kWh</v>
      </c>
      <c r="C370" s="317"/>
      <c r="D370" s="317"/>
      <c r="E370" s="102"/>
      <c r="F370" s="327">
        <f>IF(ISERROR((F367-$E367)/$E367),0,(F367-$E367)/$E367)</f>
        <v>-3.9031019347836586E-2</v>
      </c>
      <c r="G370" s="327">
        <f t="shared" si="91"/>
        <v>-3.5201920712808497E-2</v>
      </c>
      <c r="H370" s="327">
        <f t="shared" si="91"/>
        <v>-6.6578890428688337E-2</v>
      </c>
      <c r="I370" s="327">
        <f t="shared" si="91"/>
        <v>-3.3114869384302831E-2</v>
      </c>
      <c r="J370" s="327">
        <f t="shared" si="91"/>
        <v>-4.1753090909439204E-2</v>
      </c>
      <c r="K370" s="327">
        <f t="shared" si="91"/>
        <v>-3.7242159014178863E-2</v>
      </c>
    </row>
    <row r="371" spans="2:11" ht="9" customHeight="1" x14ac:dyDescent="0.2">
      <c r="B371" s="401"/>
      <c r="C371" s="402"/>
      <c r="D371" s="402"/>
      <c r="E371" s="402"/>
      <c r="F371" s="402"/>
      <c r="G371" s="402"/>
      <c r="H371" s="402"/>
      <c r="I371" s="402"/>
      <c r="J371" s="402"/>
      <c r="K371" s="403"/>
    </row>
    <row r="372" spans="2:11" ht="15" customHeight="1" x14ac:dyDescent="0.2">
      <c r="B372" s="404" t="str">
        <f>F292</f>
        <v>General Service &lt; 50 kW</v>
      </c>
      <c r="C372" s="405"/>
      <c r="D372" s="405"/>
      <c r="E372" s="405"/>
      <c r="F372" s="405"/>
      <c r="G372" s="405"/>
      <c r="H372" s="405"/>
      <c r="I372" s="405"/>
      <c r="J372" s="405"/>
      <c r="K372" s="406"/>
    </row>
    <row r="373" spans="2:11" ht="15" customHeight="1" x14ac:dyDescent="0.2">
      <c r="B373" s="90" t="s">
        <v>47</v>
      </c>
      <c r="C373" s="85"/>
      <c r="D373" s="85"/>
      <c r="E373" s="102">
        <f>F53</f>
        <v>2645.0908528964555</v>
      </c>
      <c r="F373" s="94">
        <f>Summary!M24</f>
        <v>2633</v>
      </c>
      <c r="G373" s="94">
        <f>Summary!N24</f>
        <v>2623</v>
      </c>
      <c r="H373" s="94">
        <f>Summary!O24</f>
        <v>2645</v>
      </c>
      <c r="I373" s="94">
        <f>Summary!P24</f>
        <v>2649</v>
      </c>
      <c r="J373" s="94">
        <f>Summary!Q24</f>
        <v>2657</v>
      </c>
      <c r="K373" s="94">
        <f>Summary!R24</f>
        <v>2668</v>
      </c>
    </row>
    <row r="374" spans="2:11" ht="15" customHeight="1" x14ac:dyDescent="0.2">
      <c r="B374" s="90" t="s">
        <v>48</v>
      </c>
      <c r="C374" s="85"/>
      <c r="D374" s="85"/>
      <c r="E374" s="102">
        <f>F31*1000000</f>
        <v>85026017.025025979</v>
      </c>
      <c r="F374" s="94">
        <f>Summary!M25</f>
        <v>85042099.07000047</v>
      </c>
      <c r="G374" s="94">
        <f>Summary!N25</f>
        <v>85023143.980002552</v>
      </c>
      <c r="H374" s="94">
        <f>Summary!O25</f>
        <v>84948670.560000002</v>
      </c>
      <c r="I374" s="94">
        <f>Summary!P25</f>
        <v>85119330.710000545</v>
      </c>
      <c r="J374" s="94">
        <f>Summary!Q25</f>
        <v>85369054.680000916</v>
      </c>
      <c r="K374" s="94">
        <f>Summary!R25</f>
        <v>85952587.08812359</v>
      </c>
    </row>
    <row r="375" spans="2:11" ht="15" customHeight="1" x14ac:dyDescent="0.2">
      <c r="B375" s="398" t="s">
        <v>290</v>
      </c>
      <c r="C375" s="399"/>
      <c r="D375" s="399"/>
      <c r="E375" s="399"/>
      <c r="F375" s="399"/>
      <c r="G375" s="399"/>
      <c r="H375" s="399"/>
      <c r="I375" s="399"/>
      <c r="J375" s="399"/>
      <c r="K375" s="400"/>
    </row>
    <row r="376" spans="2:11" ht="15" customHeight="1" x14ac:dyDescent="0.2">
      <c r="B376" s="316" t="str">
        <f>B373</f>
        <v xml:space="preserve">  Customers</v>
      </c>
      <c r="C376" s="317"/>
      <c r="D376" s="317"/>
      <c r="E376" s="102"/>
      <c r="F376" s="327">
        <f>IF(ISERROR((F373-$E373)/$E373),0,(F373-$E373)/$E373)</f>
        <v>-4.5710539141654398E-3</v>
      </c>
      <c r="G376" s="327">
        <f t="shared" ref="G376:K376" si="92">IF(ISERROR((G373-$E373)/$E373),0,(G373-$E373)/$E373)</f>
        <v>-8.3516423915138433E-3</v>
      </c>
      <c r="H376" s="327">
        <f t="shared" si="92"/>
        <v>-3.4347741347355874E-5</v>
      </c>
      <c r="I376" s="327">
        <f t="shared" si="92"/>
        <v>1.4778876495920054E-3</v>
      </c>
      <c r="J376" s="327">
        <f t="shared" si="92"/>
        <v>4.5023584314707278E-3</v>
      </c>
      <c r="K376" s="327">
        <f t="shared" si="92"/>
        <v>8.6610057565539716E-3</v>
      </c>
    </row>
    <row r="377" spans="2:11" ht="15" customHeight="1" x14ac:dyDescent="0.2">
      <c r="B377" s="316" t="str">
        <f>B374</f>
        <v xml:space="preserve">  kWh</v>
      </c>
      <c r="C377" s="317"/>
      <c r="D377" s="317"/>
      <c r="E377" s="102"/>
      <c r="F377" s="327">
        <f>IF(ISERROR((F374-$E374)/$E374),0,(F374-$E374)/$E374)</f>
        <v>1.8914263583295359E-4</v>
      </c>
      <c r="G377" s="327">
        <f t="shared" ref="G377:K377" si="93">IF(ISERROR((G374-$E374)/$E374),0,(G374-$E374)/$E374)</f>
        <v>-3.3790187097447846E-5</v>
      </c>
      <c r="H377" s="327">
        <f t="shared" si="93"/>
        <v>-9.0967997481536346E-4</v>
      </c>
      <c r="I377" s="327">
        <f t="shared" si="93"/>
        <v>1.0974721413458753E-3</v>
      </c>
      <c r="J377" s="327">
        <f t="shared" si="93"/>
        <v>4.0345022262300032E-3</v>
      </c>
      <c r="K377" s="327">
        <f t="shared" si="93"/>
        <v>1.0897488739533581E-2</v>
      </c>
    </row>
    <row r="378" spans="2:11" ht="9" customHeight="1" x14ac:dyDescent="0.2">
      <c r="B378" s="401"/>
      <c r="C378" s="402"/>
      <c r="D378" s="402"/>
      <c r="E378" s="402"/>
      <c r="F378" s="402"/>
      <c r="G378" s="402"/>
      <c r="H378" s="402"/>
      <c r="I378" s="402"/>
      <c r="J378" s="402"/>
      <c r="K378" s="403"/>
    </row>
    <row r="379" spans="2:11" ht="15" customHeight="1" x14ac:dyDescent="0.2">
      <c r="B379" s="404" t="str">
        <f>Summary!A27</f>
        <v>General Service 50 to 2999 kW</v>
      </c>
      <c r="C379" s="405"/>
      <c r="D379" s="405"/>
      <c r="E379" s="405"/>
      <c r="F379" s="405"/>
      <c r="G379" s="405"/>
      <c r="H379" s="405"/>
      <c r="I379" s="405"/>
      <c r="J379" s="405"/>
      <c r="K379" s="406"/>
    </row>
    <row r="380" spans="2:11" ht="15" customHeight="1" x14ac:dyDescent="0.2">
      <c r="B380" s="90" t="s">
        <v>47</v>
      </c>
      <c r="C380" s="85"/>
      <c r="D380" s="85"/>
      <c r="E380" s="102">
        <f>G53</f>
        <v>286.70378865077754</v>
      </c>
      <c r="F380" s="94">
        <f>Summary!M28</f>
        <v>269</v>
      </c>
      <c r="G380" s="94">
        <f>Summary!N28</f>
        <v>268</v>
      </c>
      <c r="H380" s="94">
        <f>Summary!O28</f>
        <v>254</v>
      </c>
      <c r="I380" s="94">
        <f>Summary!P28</f>
        <v>255</v>
      </c>
      <c r="J380" s="94">
        <f>Summary!Q28</f>
        <v>252</v>
      </c>
      <c r="K380" s="94">
        <f>Summary!R28</f>
        <v>247</v>
      </c>
    </row>
    <row r="381" spans="2:11" ht="15" customHeight="1" x14ac:dyDescent="0.2">
      <c r="B381" s="90" t="s">
        <v>48</v>
      </c>
      <c r="C381" s="85"/>
      <c r="D381" s="85"/>
      <c r="E381" s="102">
        <f>G31*1000000</f>
        <v>221440020.41235569</v>
      </c>
      <c r="F381" s="94">
        <f>Summary!M29</f>
        <v>230037736.63</v>
      </c>
      <c r="G381" s="94">
        <f>Summary!N29</f>
        <v>231667366.05000007</v>
      </c>
      <c r="H381" s="94">
        <f>Summary!O29</f>
        <v>223688452.94999999</v>
      </c>
      <c r="I381" s="94">
        <f>Summary!P29</f>
        <v>216614453.60999995</v>
      </c>
      <c r="J381" s="94">
        <f>Summary!Q29</f>
        <v>217236187.44</v>
      </c>
      <c r="K381" s="94">
        <f>Summary!R29</f>
        <v>208155048.04770923</v>
      </c>
    </row>
    <row r="382" spans="2:11" ht="15" customHeight="1" x14ac:dyDescent="0.2">
      <c r="B382" s="90" t="s">
        <v>49</v>
      </c>
      <c r="C382" s="85"/>
      <c r="D382" s="85"/>
      <c r="E382" s="102">
        <v>638329.56446517538</v>
      </c>
      <c r="F382" s="94">
        <f>Summary!M30</f>
        <v>588203.21</v>
      </c>
      <c r="G382" s="94">
        <f>Summary!N30</f>
        <v>582945.86</v>
      </c>
      <c r="H382" s="94">
        <f>Summary!O30</f>
        <v>540969</v>
      </c>
      <c r="I382" s="94">
        <f>Summary!P30</f>
        <v>535312.51999999979</v>
      </c>
      <c r="J382" s="94">
        <f>Summary!Q30</f>
        <v>533378.05000000005</v>
      </c>
      <c r="K382" s="94">
        <f>Summary!R30</f>
        <v>515630.40702892555</v>
      </c>
    </row>
    <row r="383" spans="2:11" ht="15" customHeight="1" x14ac:dyDescent="0.2">
      <c r="B383" s="398" t="s">
        <v>290</v>
      </c>
      <c r="C383" s="399"/>
      <c r="D383" s="399"/>
      <c r="E383" s="399"/>
      <c r="F383" s="399"/>
      <c r="G383" s="399"/>
      <c r="H383" s="399"/>
      <c r="I383" s="399"/>
      <c r="J383" s="399"/>
      <c r="K383" s="400"/>
    </row>
    <row r="384" spans="2:11" ht="15" customHeight="1" x14ac:dyDescent="0.2">
      <c r="B384" s="316" t="str">
        <f>B380</f>
        <v xml:space="preserve">  Customers</v>
      </c>
      <c r="C384" s="317"/>
      <c r="D384" s="317"/>
      <c r="E384" s="102"/>
      <c r="F384" s="327">
        <f>IF(ISERROR((F380-$E380)/$E380),0,(F380-$E380)/$E380)</f>
        <v>-6.1749406012704698E-2</v>
      </c>
      <c r="G384" s="327">
        <f t="shared" ref="G384:K384" si="94">IF(ISERROR((G380-$E380)/$E380),0,(G380-$E380)/$E380)</f>
        <v>-6.5237326436449292E-2</v>
      </c>
      <c r="H384" s="327">
        <f t="shared" si="94"/>
        <v>-0.11406821236887359</v>
      </c>
      <c r="I384" s="327">
        <f t="shared" si="94"/>
        <v>-0.11058029194512899</v>
      </c>
      <c r="J384" s="327">
        <f t="shared" si="94"/>
        <v>-0.12104405321636276</v>
      </c>
      <c r="K384" s="327">
        <f t="shared" si="94"/>
        <v>-0.13848365533508572</v>
      </c>
    </row>
    <row r="385" spans="2:11" ht="15" customHeight="1" x14ac:dyDescent="0.2">
      <c r="B385" s="316" t="str">
        <f>B381</f>
        <v xml:space="preserve">  kWh</v>
      </c>
      <c r="C385" s="317"/>
      <c r="D385" s="317"/>
      <c r="E385" s="102"/>
      <c r="F385" s="327">
        <f t="shared" ref="F385:K386" si="95">IF(ISERROR((F381-$E381)/$E381),0,(F381-$E381)/$E381)</f>
        <v>3.8826388299793423E-2</v>
      </c>
      <c r="G385" s="327">
        <f t="shared" si="95"/>
        <v>4.6185624525320559E-2</v>
      </c>
      <c r="H385" s="327">
        <f t="shared" si="95"/>
        <v>1.0153686463076397E-2</v>
      </c>
      <c r="I385" s="327">
        <f t="shared" si="95"/>
        <v>-2.1791755588577811E-2</v>
      </c>
      <c r="J385" s="327">
        <f t="shared" si="95"/>
        <v>-1.8984070560179249E-2</v>
      </c>
      <c r="K385" s="327">
        <f t="shared" si="95"/>
        <v>-5.9993547417073863E-2</v>
      </c>
    </row>
    <row r="386" spans="2:11" ht="15" customHeight="1" x14ac:dyDescent="0.2">
      <c r="B386" s="316" t="str">
        <f>B382</f>
        <v xml:space="preserve">  kW</v>
      </c>
      <c r="C386" s="317"/>
      <c r="D386" s="317"/>
      <c r="E386" s="102"/>
      <c r="F386" s="327">
        <f t="shared" si="95"/>
        <v>-7.852738969904019E-2</v>
      </c>
      <c r="G386" s="327">
        <f t="shared" si="95"/>
        <v>-8.6763495768175256E-2</v>
      </c>
      <c r="H386" s="327">
        <f t="shared" si="95"/>
        <v>-0.15252397802810366</v>
      </c>
      <c r="I386" s="327">
        <f t="shared" si="95"/>
        <v>-0.16138535671849769</v>
      </c>
      <c r="J386" s="327">
        <f t="shared" si="95"/>
        <v>-0.16441587591686904</v>
      </c>
      <c r="K386" s="327">
        <f t="shared" si="95"/>
        <v>-0.19221913611200722</v>
      </c>
    </row>
    <row r="387" spans="2:11" ht="9" customHeight="1" x14ac:dyDescent="0.2">
      <c r="B387" s="401"/>
      <c r="C387" s="402"/>
      <c r="D387" s="402"/>
      <c r="E387" s="402"/>
      <c r="F387" s="402"/>
      <c r="G387" s="402"/>
      <c r="H387" s="402"/>
      <c r="I387" s="402"/>
      <c r="J387" s="402"/>
      <c r="K387" s="403"/>
    </row>
    <row r="388" spans="2:11" ht="15" customHeight="1" x14ac:dyDescent="0.2">
      <c r="B388" s="404" t="str">
        <f>Summary!A32</f>
        <v>General Service 3000 to 4999 kW</v>
      </c>
      <c r="C388" s="405"/>
      <c r="D388" s="405"/>
      <c r="E388" s="405"/>
      <c r="F388" s="405"/>
      <c r="G388" s="405"/>
      <c r="H388" s="405"/>
      <c r="I388" s="405"/>
      <c r="J388" s="405"/>
      <c r="K388" s="406"/>
    </row>
    <row r="389" spans="2:11" ht="15" customHeight="1" x14ac:dyDescent="0.2">
      <c r="B389" s="90" t="s">
        <v>47</v>
      </c>
      <c r="C389" s="85"/>
      <c r="D389" s="85"/>
      <c r="E389" s="102">
        <v>2</v>
      </c>
      <c r="F389" s="94">
        <f>Summary!M33</f>
        <v>2</v>
      </c>
      <c r="G389" s="94">
        <f>Summary!N33</f>
        <v>2</v>
      </c>
      <c r="H389" s="94">
        <f>Summary!O33</f>
        <v>2</v>
      </c>
      <c r="I389" s="94">
        <f>Summary!P33</f>
        <v>2</v>
      </c>
      <c r="J389" s="94">
        <f>Summary!Q33</f>
        <v>2</v>
      </c>
      <c r="K389" s="94">
        <f>Summary!R33</f>
        <v>1</v>
      </c>
    </row>
    <row r="390" spans="2:11" ht="15" customHeight="1" x14ac:dyDescent="0.2">
      <c r="B390" s="90" t="s">
        <v>48</v>
      </c>
      <c r="C390" s="85"/>
      <c r="D390" s="85"/>
      <c r="E390" s="102">
        <f>H31*1000000</f>
        <v>38784125.415392607</v>
      </c>
      <c r="F390" s="94">
        <f>Summary!M34</f>
        <v>41028103.810000002</v>
      </c>
      <c r="G390" s="94">
        <f>Summary!N34</f>
        <v>37086851.810000002</v>
      </c>
      <c r="H390" s="94">
        <f>Summary!O34</f>
        <v>35722771.82</v>
      </c>
      <c r="I390" s="94">
        <f>Summary!P34</f>
        <v>35775035.789999999</v>
      </c>
      <c r="J390" s="94">
        <f>Summary!Q34</f>
        <v>26926555.820000004</v>
      </c>
      <c r="K390" s="94">
        <f>Summary!R34</f>
        <v>17254810.307607245</v>
      </c>
    </row>
    <row r="391" spans="2:11" ht="15" customHeight="1" x14ac:dyDescent="0.2">
      <c r="B391" s="90" t="s">
        <v>49</v>
      </c>
      <c r="C391" s="85"/>
      <c r="D391" s="85"/>
      <c r="E391" s="102">
        <v>74105.743038896224</v>
      </c>
      <c r="F391" s="94">
        <f>Summary!M35</f>
        <v>78059.55</v>
      </c>
      <c r="G391" s="94">
        <f>Summary!N35</f>
        <v>70473.350000000006</v>
      </c>
      <c r="H391" s="94">
        <f>Summary!O35</f>
        <v>68480</v>
      </c>
      <c r="I391" s="94">
        <f>Summary!P35</f>
        <v>69448.33</v>
      </c>
      <c r="J391" s="94">
        <f>Summary!Q35</f>
        <v>54354.869999999995</v>
      </c>
      <c r="K391" s="94">
        <f>Summary!R35</f>
        <v>33801.425697666316</v>
      </c>
    </row>
    <row r="392" spans="2:11" ht="15" customHeight="1" x14ac:dyDescent="0.2">
      <c r="B392" s="398" t="s">
        <v>290</v>
      </c>
      <c r="C392" s="399"/>
      <c r="D392" s="399"/>
      <c r="E392" s="399"/>
      <c r="F392" s="399"/>
      <c r="G392" s="399"/>
      <c r="H392" s="399"/>
      <c r="I392" s="399"/>
      <c r="J392" s="399"/>
      <c r="K392" s="400"/>
    </row>
    <row r="393" spans="2:11" ht="15" customHeight="1" x14ac:dyDescent="0.2">
      <c r="B393" s="316" t="str">
        <f>B389</f>
        <v xml:space="preserve">  Customers</v>
      </c>
      <c r="C393" s="317"/>
      <c r="D393" s="317"/>
      <c r="E393" s="102"/>
      <c r="F393" s="327">
        <f>IF(ISERROR((F389-$E389)/$E389),0,(F389-$E389)/$E389)</f>
        <v>0</v>
      </c>
      <c r="G393" s="327">
        <f t="shared" ref="G393:K393" si="96">IF(ISERROR((G389-$E389)/$E389),0,(G389-$E389)/$E389)</f>
        <v>0</v>
      </c>
      <c r="H393" s="327">
        <f t="shared" si="96"/>
        <v>0</v>
      </c>
      <c r="I393" s="327">
        <f t="shared" si="96"/>
        <v>0</v>
      </c>
      <c r="J393" s="327">
        <f t="shared" si="96"/>
        <v>0</v>
      </c>
      <c r="K393" s="327">
        <f t="shared" si="96"/>
        <v>-0.5</v>
      </c>
    </row>
    <row r="394" spans="2:11" ht="15" customHeight="1" x14ac:dyDescent="0.2">
      <c r="B394" s="316" t="str">
        <f>B390</f>
        <v xml:space="preserve">  kWh</v>
      </c>
      <c r="C394" s="317"/>
      <c r="D394" s="317"/>
      <c r="E394" s="102"/>
      <c r="F394" s="327">
        <f t="shared" ref="F394:K394" si="97">IF(ISERROR((F390-$E390)/$E390),0,(F390-$E390)/$E390)</f>
        <v>5.7858166726039072E-2</v>
      </c>
      <c r="G394" s="327">
        <f>IF(ISERROR((G390-$E390)/$E390),0,(G390-$E390)/$E390)</f>
        <v>-4.3762069847242006E-2</v>
      </c>
      <c r="H394" s="327">
        <f t="shared" si="97"/>
        <v>-7.8933160477498349E-2</v>
      </c>
      <c r="I394" s="327">
        <f t="shared" si="97"/>
        <v>-7.7585599602005298E-2</v>
      </c>
      <c r="J394" s="327">
        <f t="shared" si="97"/>
        <v>-0.30573255084118983</v>
      </c>
      <c r="K394" s="327">
        <f t="shared" si="97"/>
        <v>-0.55510637089784232</v>
      </c>
    </row>
    <row r="395" spans="2:11" ht="15" customHeight="1" x14ac:dyDescent="0.2">
      <c r="B395" s="316" t="str">
        <f>B391</f>
        <v xml:space="preserve">  kW</v>
      </c>
      <c r="C395" s="317"/>
      <c r="D395" s="317"/>
      <c r="E395" s="102"/>
      <c r="F395" s="327">
        <f t="shared" ref="F395:K395" si="98">IF(ISERROR((F391-$E391)/$E391),0,(F391-$E391)/$E391)</f>
        <v>5.3353583662585045E-2</v>
      </c>
      <c r="G395" s="327">
        <f t="shared" si="98"/>
        <v>-4.9016350014730536E-2</v>
      </c>
      <c r="H395" s="327">
        <f t="shared" si="98"/>
        <v>-7.5915074975274374E-2</v>
      </c>
      <c r="I395" s="327">
        <f t="shared" si="98"/>
        <v>-6.2848206466962542E-2</v>
      </c>
      <c r="J395" s="327">
        <f t="shared" si="98"/>
        <v>-0.26652283924242548</v>
      </c>
      <c r="K395" s="327">
        <f t="shared" si="98"/>
        <v>-0.54387576034525686</v>
      </c>
    </row>
    <row r="396" spans="2:11" ht="9" customHeight="1" x14ac:dyDescent="0.2">
      <c r="B396" s="401"/>
      <c r="C396" s="402"/>
      <c r="D396" s="402"/>
      <c r="E396" s="402"/>
      <c r="F396" s="402"/>
      <c r="G396" s="402"/>
      <c r="H396" s="402"/>
      <c r="I396" s="402"/>
      <c r="J396" s="402"/>
      <c r="K396" s="403"/>
    </row>
    <row r="397" spans="2:11" ht="15" customHeight="1" x14ac:dyDescent="0.2">
      <c r="B397" s="404" t="str">
        <f>Summary!A37</f>
        <v>Street Lighting</v>
      </c>
      <c r="C397" s="405"/>
      <c r="D397" s="405"/>
      <c r="E397" s="405"/>
      <c r="F397" s="405"/>
      <c r="G397" s="405"/>
      <c r="H397" s="405"/>
      <c r="I397" s="405"/>
      <c r="J397" s="405"/>
      <c r="K397" s="406"/>
    </row>
    <row r="398" spans="2:11" ht="15" customHeight="1" x14ac:dyDescent="0.2">
      <c r="B398" s="90" t="s">
        <v>58</v>
      </c>
      <c r="C398" s="85"/>
      <c r="D398" s="85"/>
      <c r="E398" s="102">
        <f>I53</f>
        <v>5680.2147622573266</v>
      </c>
      <c r="F398" s="94">
        <f>Summary!M38</f>
        <v>5572</v>
      </c>
      <c r="G398" s="94">
        <f>Summary!N38</f>
        <v>5574</v>
      </c>
      <c r="H398" s="94">
        <f>Summary!O38</f>
        <v>5574</v>
      </c>
      <c r="I398" s="94">
        <f>Summary!P38</f>
        <v>5574</v>
      </c>
      <c r="J398" s="94">
        <f>Summary!Q38</f>
        <v>5419</v>
      </c>
      <c r="K398" s="94">
        <f>Summary!R38</f>
        <v>5419</v>
      </c>
    </row>
    <row r="399" spans="2:11" ht="15" customHeight="1" x14ac:dyDescent="0.2">
      <c r="B399" s="90" t="s">
        <v>48</v>
      </c>
      <c r="C399" s="85"/>
      <c r="D399" s="85"/>
      <c r="E399" s="102">
        <f>I31*1000000</f>
        <v>2721605.0516437371</v>
      </c>
      <c r="F399" s="94">
        <f>Summary!M39</f>
        <v>3324190.13</v>
      </c>
      <c r="G399" s="94">
        <f>Summary!N39</f>
        <v>3204122.67</v>
      </c>
      <c r="H399" s="94">
        <f>Summary!O39</f>
        <v>2790238.49</v>
      </c>
      <c r="I399" s="94">
        <f>Summary!P39</f>
        <v>2348268.23</v>
      </c>
      <c r="J399" s="94">
        <f>Summary!Q39</f>
        <v>2026565.8900000001</v>
      </c>
      <c r="K399" s="94">
        <f>Summary!R39</f>
        <v>2018762.3305114082</v>
      </c>
    </row>
    <row r="400" spans="2:11" ht="15" customHeight="1" x14ac:dyDescent="0.2">
      <c r="B400" s="90" t="s">
        <v>49</v>
      </c>
      <c r="C400" s="85"/>
      <c r="D400" s="85"/>
      <c r="E400" s="102">
        <v>7658.3680565890891</v>
      </c>
      <c r="F400" s="94">
        <f>Summary!M40</f>
        <v>9284.76</v>
      </c>
      <c r="G400" s="94">
        <f>Summary!N40</f>
        <v>9041.75</v>
      </c>
      <c r="H400" s="94">
        <f>Summary!O40</f>
        <v>7788</v>
      </c>
      <c r="I400" s="94">
        <f>Summary!P40</f>
        <v>6559.4</v>
      </c>
      <c r="J400" s="94">
        <f>Summary!Q40</f>
        <v>5677.1200000000008</v>
      </c>
      <c r="K400" s="94">
        <f>Summary!R40</f>
        <v>5641.08</v>
      </c>
    </row>
    <row r="401" spans="2:11" ht="15" customHeight="1" x14ac:dyDescent="0.2">
      <c r="B401" s="398" t="s">
        <v>290</v>
      </c>
      <c r="C401" s="399"/>
      <c r="D401" s="399"/>
      <c r="E401" s="399"/>
      <c r="F401" s="399"/>
      <c r="G401" s="399"/>
      <c r="H401" s="399"/>
      <c r="I401" s="399"/>
      <c r="J401" s="399"/>
      <c r="K401" s="400"/>
    </row>
    <row r="402" spans="2:11" ht="15" customHeight="1" x14ac:dyDescent="0.2">
      <c r="B402" s="316" t="str">
        <f>B398</f>
        <v xml:space="preserve">  Connections</v>
      </c>
      <c r="C402" s="317"/>
      <c r="D402" s="317"/>
      <c r="E402" s="102"/>
      <c r="F402" s="327">
        <f>IF(ISERROR((F398-$E398)/$E398),0,(F398-$E398)/$E398)</f>
        <v>-1.9051174433820501E-2</v>
      </c>
      <c r="G402" s="327">
        <f t="shared" ref="G402:K402" si="99">IF(ISERROR((G398-$E398)/$E398),0,(G398-$E398)/$E398)</f>
        <v>-1.869907507073142E-2</v>
      </c>
      <c r="H402" s="327">
        <f t="shared" si="99"/>
        <v>-1.869907507073142E-2</v>
      </c>
      <c r="I402" s="327">
        <f t="shared" si="99"/>
        <v>-1.869907507073142E-2</v>
      </c>
      <c r="J402" s="327">
        <f t="shared" si="99"/>
        <v>-4.5986775710135194E-2</v>
      </c>
      <c r="K402" s="327">
        <f t="shared" si="99"/>
        <v>-4.5986775710135194E-2</v>
      </c>
    </row>
    <row r="403" spans="2:11" ht="15" customHeight="1" x14ac:dyDescent="0.2">
      <c r="B403" s="316" t="str">
        <f>B399</f>
        <v xml:space="preserve">  kWh</v>
      </c>
      <c r="C403" s="317"/>
      <c r="D403" s="317"/>
      <c r="E403" s="102"/>
      <c r="F403" s="327">
        <f t="shared" ref="F403" si="100">IF(ISERROR((F399-$E399)/$E399),0,(F399-$E399)/$E399)</f>
        <v>0.2214079805562994</v>
      </c>
      <c r="G403" s="327">
        <f>IF(ISERROR((G399-$E399)/$E399),0,(G399-$E399)/$E399)</f>
        <v>0.17729156479366545</v>
      </c>
      <c r="H403" s="327">
        <f t="shared" ref="H403:K403" si="101">IF(ISERROR((H399-$E399)/$E399),0,(H399-$E399)/$E399)</f>
        <v>2.5218000795086463E-2</v>
      </c>
      <c r="I403" s="327">
        <f t="shared" si="101"/>
        <v>-0.13717523834630491</v>
      </c>
      <c r="J403" s="327">
        <f t="shared" si="101"/>
        <v>-0.25537840665895373</v>
      </c>
      <c r="K403" s="327">
        <f t="shared" si="101"/>
        <v>-0.25824567040241236</v>
      </c>
    </row>
    <row r="404" spans="2:11" ht="15" customHeight="1" x14ac:dyDescent="0.2">
      <c r="B404" s="316" t="str">
        <f>B400</f>
        <v xml:space="preserve">  kW</v>
      </c>
      <c r="C404" s="317"/>
      <c r="D404" s="317"/>
      <c r="E404" s="102"/>
      <c r="F404" s="327">
        <f t="shared" ref="F404:K404" si="102">IF(ISERROR((F400-$E400)/$E400),0,(F400-$E400)/$E400)</f>
        <v>0.21236795246626985</v>
      </c>
      <c r="G404" s="327">
        <f t="shared" si="102"/>
        <v>0.18063664911229749</v>
      </c>
      <c r="H404" s="327">
        <f t="shared" si="102"/>
        <v>1.6926836429515622E-2</v>
      </c>
      <c r="I404" s="327">
        <f t="shared" si="102"/>
        <v>-0.1434989867904771</v>
      </c>
      <c r="J404" s="327">
        <f t="shared" si="102"/>
        <v>-0.25870368751531425</v>
      </c>
      <c r="K404" s="327">
        <f t="shared" si="102"/>
        <v>-0.26340965094429741</v>
      </c>
    </row>
    <row r="405" spans="2:11" ht="9" customHeight="1" x14ac:dyDescent="0.2">
      <c r="B405" s="401"/>
      <c r="C405" s="402"/>
      <c r="D405" s="402"/>
      <c r="E405" s="402"/>
      <c r="F405" s="402"/>
      <c r="G405" s="402"/>
      <c r="H405" s="402"/>
      <c r="I405" s="402"/>
      <c r="J405" s="402"/>
      <c r="K405" s="403"/>
    </row>
    <row r="406" spans="2:11" ht="15" customHeight="1" x14ac:dyDescent="0.2">
      <c r="B406" s="328" t="str">
        <f>Summary!A42</f>
        <v>Sentinel Lighting</v>
      </c>
      <c r="C406" s="85"/>
      <c r="D406" s="85"/>
      <c r="E406" s="102"/>
      <c r="F406" s="94"/>
      <c r="G406" s="94"/>
      <c r="H406" s="74"/>
      <c r="I406" s="74"/>
      <c r="J406" s="74"/>
      <c r="K406" s="74"/>
    </row>
    <row r="407" spans="2:11" ht="15" customHeight="1" x14ac:dyDescent="0.2">
      <c r="B407" s="316" t="s">
        <v>58</v>
      </c>
      <c r="C407" s="85"/>
      <c r="D407" s="85"/>
      <c r="E407" s="102">
        <v>509</v>
      </c>
      <c r="F407" s="94">
        <f>Summary!M43</f>
        <v>509</v>
      </c>
      <c r="G407" s="94">
        <f>Summary!N43</f>
        <v>474</v>
      </c>
      <c r="H407" s="94">
        <f>Summary!O43</f>
        <v>447</v>
      </c>
      <c r="I407" s="94">
        <f>Summary!P43</f>
        <v>427</v>
      </c>
      <c r="J407" s="94">
        <f>Summary!Q43</f>
        <v>427</v>
      </c>
      <c r="K407" s="94">
        <f>Summary!R43</f>
        <v>412</v>
      </c>
    </row>
    <row r="408" spans="2:11" ht="15" customHeight="1" x14ac:dyDescent="0.2">
      <c r="B408" s="316" t="s">
        <v>48</v>
      </c>
      <c r="C408" s="85"/>
      <c r="D408" s="85"/>
      <c r="E408" s="102">
        <f>J31*1000000</f>
        <v>505802.78620938503</v>
      </c>
      <c r="F408" s="94">
        <f>Summary!M44</f>
        <v>569407.56999999995</v>
      </c>
      <c r="G408" s="94">
        <f>Summary!N44</f>
        <v>481664.12000000005</v>
      </c>
      <c r="H408" s="94">
        <f>Summary!O44</f>
        <v>487759.49</v>
      </c>
      <c r="I408" s="94">
        <f>Summary!P44</f>
        <v>443950.62000000069</v>
      </c>
      <c r="J408" s="94">
        <f>Summary!Q44</f>
        <v>423992.64000000048</v>
      </c>
      <c r="K408" s="94">
        <f>Summary!R44</f>
        <v>405959.29373617272</v>
      </c>
    </row>
    <row r="409" spans="2:11" ht="15" customHeight="1" x14ac:dyDescent="0.2">
      <c r="B409" s="316" t="s">
        <v>49</v>
      </c>
      <c r="C409" s="85"/>
      <c r="D409" s="85"/>
      <c r="E409" s="102">
        <v>1381.6620334954785</v>
      </c>
      <c r="F409" s="94">
        <f>Summary!M45</f>
        <v>1541.04</v>
      </c>
      <c r="G409" s="94">
        <f>Summary!N45</f>
        <v>1286.7100000000016</v>
      </c>
      <c r="H409" s="94">
        <f>Summary!O45</f>
        <v>1601</v>
      </c>
      <c r="I409" s="94">
        <f>Summary!P45</f>
        <v>1224.070000000002</v>
      </c>
      <c r="J409" s="94">
        <f>Summary!Q45</f>
        <v>1178.6100000000022</v>
      </c>
      <c r="K409" s="94">
        <f>Summary!R45</f>
        <v>1193.4344347067597</v>
      </c>
    </row>
    <row r="410" spans="2:11" ht="15" customHeight="1" x14ac:dyDescent="0.2">
      <c r="B410" s="398" t="s">
        <v>290</v>
      </c>
      <c r="C410" s="399"/>
      <c r="D410" s="399"/>
      <c r="E410" s="399"/>
      <c r="F410" s="399"/>
      <c r="G410" s="399"/>
      <c r="H410" s="399"/>
      <c r="I410" s="399"/>
      <c r="J410" s="399"/>
      <c r="K410" s="400"/>
    </row>
    <row r="411" spans="2:11" ht="15" customHeight="1" x14ac:dyDescent="0.2">
      <c r="B411" s="316" t="str">
        <f>B407</f>
        <v xml:space="preserve">  Connections</v>
      </c>
      <c r="C411" s="317"/>
      <c r="D411" s="317"/>
      <c r="E411" s="102"/>
      <c r="F411" s="327">
        <f>IF(ISERROR((F407-$E407)/$E407),0,(F407-$E407)/$E407)</f>
        <v>0</v>
      </c>
      <c r="G411" s="327">
        <f t="shared" ref="G411:K411" si="103">IF(ISERROR((G407-$E407)/$E407),0,(G407-$E407)/$E407)</f>
        <v>-6.8762278978389005E-2</v>
      </c>
      <c r="H411" s="327">
        <f t="shared" si="103"/>
        <v>-0.12180746561886051</v>
      </c>
      <c r="I411" s="327">
        <f t="shared" si="103"/>
        <v>-0.16110019646365423</v>
      </c>
      <c r="J411" s="327">
        <f t="shared" si="103"/>
        <v>-0.16110019646365423</v>
      </c>
      <c r="K411" s="327">
        <f t="shared" si="103"/>
        <v>-0.19056974459724951</v>
      </c>
    </row>
    <row r="412" spans="2:11" ht="15" customHeight="1" x14ac:dyDescent="0.2">
      <c r="B412" s="316" t="str">
        <f>B408</f>
        <v xml:space="preserve">  kWh</v>
      </c>
      <c r="C412" s="317"/>
      <c r="D412" s="317"/>
      <c r="E412" s="102"/>
      <c r="F412" s="327">
        <f t="shared" ref="F412" si="104">IF(ISERROR((F408-$E408)/$E408),0,(F408-$E408)/$E408)</f>
        <v>0.12575016493539978</v>
      </c>
      <c r="G412" s="327">
        <f>IF(ISERROR((G408-$E408)/$E408),0,(G408-$E408)/$E408)</f>
        <v>-4.7723474183063108E-2</v>
      </c>
      <c r="H412" s="327">
        <f t="shared" ref="H412:K412" si="105">IF(ISERROR((H408-$E408)/$E408),0,(H408-$E408)/$E408)</f>
        <v>-3.567259157389404E-2</v>
      </c>
      <c r="I412" s="327">
        <f t="shared" si="105"/>
        <v>-0.12228514333208844</v>
      </c>
      <c r="J412" s="327">
        <f t="shared" si="105"/>
        <v>-0.16174317034212213</v>
      </c>
      <c r="K412" s="327">
        <f t="shared" si="105"/>
        <v>-0.19739609032497601</v>
      </c>
    </row>
    <row r="413" spans="2:11" ht="15" customHeight="1" x14ac:dyDescent="0.2">
      <c r="B413" s="316" t="str">
        <f>B409</f>
        <v xml:space="preserve">  kW</v>
      </c>
      <c r="C413" s="317"/>
      <c r="D413" s="317"/>
      <c r="E413" s="102"/>
      <c r="F413" s="327">
        <f t="shared" ref="F413:K413" si="106">IF(ISERROR((F409-$E409)/$E409),0,(F409-$E409)/$E409)</f>
        <v>0.11535235292042428</v>
      </c>
      <c r="G413" s="327">
        <f t="shared" si="106"/>
        <v>-6.8723053245703561E-2</v>
      </c>
      <c r="H413" s="327">
        <f t="shared" si="106"/>
        <v>0.15874936213570012</v>
      </c>
      <c r="I413" s="327">
        <f t="shared" si="106"/>
        <v>-0.11405975533451046</v>
      </c>
      <c r="J413" s="327">
        <f t="shared" si="106"/>
        <v>-0.14696215758478448</v>
      </c>
      <c r="K413" s="327">
        <f t="shared" si="106"/>
        <v>-0.13623273581059483</v>
      </c>
    </row>
    <row r="414" spans="2:11" ht="9" customHeight="1" x14ac:dyDescent="0.2">
      <c r="B414" s="401"/>
      <c r="C414" s="402"/>
      <c r="D414" s="402"/>
      <c r="E414" s="402"/>
      <c r="F414" s="402"/>
      <c r="G414" s="402"/>
      <c r="H414" s="402"/>
      <c r="I414" s="402"/>
      <c r="J414" s="402"/>
      <c r="K414" s="403"/>
    </row>
    <row r="415" spans="2:11" ht="15" customHeight="1" x14ac:dyDescent="0.2">
      <c r="B415" s="328" t="str">
        <f>Summary!A47</f>
        <v xml:space="preserve">Unmetered Scattered Load </v>
      </c>
      <c r="C415" s="85"/>
      <c r="D415" s="85"/>
      <c r="E415" s="102"/>
      <c r="F415" s="94"/>
      <c r="G415" s="94"/>
      <c r="H415" s="74"/>
      <c r="I415" s="74"/>
      <c r="J415" s="74"/>
      <c r="K415" s="74"/>
    </row>
    <row r="416" spans="2:11" ht="15" customHeight="1" x14ac:dyDescent="0.2">
      <c r="B416" s="90" t="s">
        <v>47</v>
      </c>
      <c r="C416" s="85"/>
      <c r="D416" s="85"/>
      <c r="E416" s="102">
        <f>K53</f>
        <v>21</v>
      </c>
      <c r="F416" s="94">
        <f>Summary!M48</f>
        <v>19</v>
      </c>
      <c r="G416" s="94">
        <f>Summary!N48</f>
        <v>18</v>
      </c>
      <c r="H416" s="94">
        <f>Summary!O48</f>
        <v>17</v>
      </c>
      <c r="I416" s="94">
        <f>Summary!P48</f>
        <v>15</v>
      </c>
      <c r="J416" s="94">
        <f>Summary!Q48</f>
        <v>11</v>
      </c>
      <c r="K416" s="94">
        <f>Summary!R48</f>
        <v>7</v>
      </c>
    </row>
    <row r="417" spans="2:12" ht="15" customHeight="1" x14ac:dyDescent="0.2">
      <c r="B417" s="90" t="s">
        <v>48</v>
      </c>
      <c r="C417" s="85"/>
      <c r="D417" s="85"/>
      <c r="E417" s="102">
        <f>K31*1000000</f>
        <v>337294.44147720787</v>
      </c>
      <c r="F417" s="94">
        <f>Summary!M49</f>
        <v>165123.38</v>
      </c>
      <c r="G417" s="94">
        <f>Summary!N49</f>
        <v>84073.43</v>
      </c>
      <c r="H417" s="94">
        <f>Summary!O49</f>
        <v>88774.489999999976</v>
      </c>
      <c r="I417" s="94">
        <f>Summary!P49</f>
        <v>89084.169999999984</v>
      </c>
      <c r="J417" s="94">
        <f>Summary!Q49</f>
        <v>50609.549999999988</v>
      </c>
      <c r="K417" s="94">
        <f>Summary!R49</f>
        <v>32044.660431652101</v>
      </c>
    </row>
    <row r="418" spans="2:12" ht="15" customHeight="1" x14ac:dyDescent="0.2">
      <c r="B418" s="398" t="s">
        <v>290</v>
      </c>
      <c r="C418" s="399"/>
      <c r="D418" s="399"/>
      <c r="E418" s="399"/>
      <c r="F418" s="399"/>
      <c r="G418" s="399"/>
      <c r="H418" s="399"/>
      <c r="I418" s="399"/>
      <c r="J418" s="399"/>
      <c r="K418" s="400"/>
    </row>
    <row r="419" spans="2:12" ht="15" customHeight="1" x14ac:dyDescent="0.2">
      <c r="B419" s="316" t="str">
        <f>B416</f>
        <v xml:space="preserve">  Customers</v>
      </c>
      <c r="C419" s="317"/>
      <c r="D419" s="317"/>
      <c r="E419" s="102"/>
      <c r="F419" s="327">
        <f>IF(ISERROR((F416-$E416)/$E416),0,(F416-$E416)/$E416)</f>
        <v>-9.5238095238095233E-2</v>
      </c>
      <c r="G419" s="327">
        <f t="shared" ref="G419:K419" si="107">IF(ISERROR((G416-$E416)/$E416),0,(G416-$E416)/$E416)</f>
        <v>-0.14285714285714285</v>
      </c>
      <c r="H419" s="327">
        <f t="shared" si="107"/>
        <v>-0.19047619047619047</v>
      </c>
      <c r="I419" s="327">
        <f t="shared" si="107"/>
        <v>-0.2857142857142857</v>
      </c>
      <c r="J419" s="327">
        <f t="shared" si="107"/>
        <v>-0.47619047619047616</v>
      </c>
      <c r="K419" s="327">
        <f t="shared" si="107"/>
        <v>-0.66666666666666663</v>
      </c>
    </row>
    <row r="420" spans="2:12" ht="15" customHeight="1" x14ac:dyDescent="0.2">
      <c r="B420" s="316" t="str">
        <f>B417</f>
        <v xml:space="preserve">  kWh</v>
      </c>
      <c r="C420" s="317"/>
      <c r="D420" s="317"/>
      <c r="E420" s="102"/>
      <c r="F420" s="327">
        <f>IF(ISERROR((F417-$E417)/$E417),0,(F417-$E417)/$E417)</f>
        <v>-0.51044737269660001</v>
      </c>
      <c r="G420" s="327">
        <f t="shared" ref="G420:K420" si="108">IF(ISERROR((G417-$E417)/$E417),0,(G417-$E417)/$E417)</f>
        <v>-0.75074172692620222</v>
      </c>
      <c r="H420" s="327">
        <f t="shared" si="108"/>
        <v>-0.73680417142006538</v>
      </c>
      <c r="I420" s="327">
        <f t="shared" si="108"/>
        <v>-0.73588604185159778</v>
      </c>
      <c r="J420" s="327">
        <f t="shared" si="108"/>
        <v>-0.84995439065538281</v>
      </c>
      <c r="K420" s="327">
        <f t="shared" si="108"/>
        <v>-0.90499499401380601</v>
      </c>
    </row>
    <row r="421" spans="2:12" ht="9" customHeight="1" x14ac:dyDescent="0.2">
      <c r="B421" s="401"/>
      <c r="C421" s="402"/>
      <c r="D421" s="402"/>
      <c r="E421" s="402"/>
      <c r="F421" s="402"/>
      <c r="G421" s="402"/>
      <c r="H421" s="402"/>
      <c r="I421" s="402"/>
      <c r="J421" s="402"/>
      <c r="K421" s="403"/>
    </row>
    <row r="422" spans="2:12" ht="15" customHeight="1" x14ac:dyDescent="0.2">
      <c r="B422" s="87" t="s">
        <v>12</v>
      </c>
      <c r="C422" s="88"/>
      <c r="D422" s="88"/>
      <c r="E422" s="103"/>
      <c r="F422" s="104"/>
      <c r="G422" s="104"/>
      <c r="H422" s="112"/>
      <c r="I422" s="112"/>
      <c r="J422" s="112"/>
      <c r="K422" s="112"/>
    </row>
    <row r="423" spans="2:12" ht="15" customHeight="1" x14ac:dyDescent="0.2">
      <c r="B423" s="316" t="s">
        <v>60</v>
      </c>
      <c r="C423" s="317"/>
      <c r="D423" s="317"/>
      <c r="E423" s="102">
        <f>E366+E373+E380+E389+E398+E407+E416</f>
        <v>30218.609179071886</v>
      </c>
      <c r="F423" s="102">
        <f>F366+F373+F380+F389+F398+F407+F416</f>
        <v>29956</v>
      </c>
      <c r="G423" s="102">
        <f t="shared" ref="G423:J423" si="109">G366+G373+G380+G389+G398+G407+G416</f>
        <v>30055</v>
      </c>
      <c r="H423" s="102">
        <f t="shared" si="109"/>
        <v>30013</v>
      </c>
      <c r="I423" s="102">
        <f t="shared" si="109"/>
        <v>30030</v>
      </c>
      <c r="J423" s="102">
        <f t="shared" si="109"/>
        <v>29885</v>
      </c>
      <c r="K423" s="102">
        <f>K366+K373+K380+K389+K398+K407+K416</f>
        <v>29878</v>
      </c>
    </row>
    <row r="424" spans="2:12" ht="15" customHeight="1" x14ac:dyDescent="0.2">
      <c r="B424" s="316" t="s">
        <v>48</v>
      </c>
      <c r="C424" s="317"/>
      <c r="D424" s="317"/>
      <c r="E424" s="73">
        <f>E367+E374+E381+E390+E399+E408+E417</f>
        <v>563738678.39591205</v>
      </c>
      <c r="F424" s="73">
        <f t="shared" ref="F424:K424" si="110">F367+F374+F381+F390+F399+F408+F417</f>
        <v>566701778.33999741</v>
      </c>
      <c r="G424" s="73">
        <f t="shared" si="110"/>
        <v>564905304.29000294</v>
      </c>
      <c r="H424" s="73">
        <f t="shared" si="110"/>
        <v>548341092.05000055</v>
      </c>
      <c r="I424" s="73">
        <f t="shared" si="110"/>
        <v>548196762.3900007</v>
      </c>
      <c r="J424" s="73">
        <f t="shared" si="110"/>
        <v>537983045.77000117</v>
      </c>
      <c r="K424" s="73">
        <f t="shared" si="110"/>
        <v>520738798.16242224</v>
      </c>
    </row>
    <row r="425" spans="2:12" ht="15" customHeight="1" x14ac:dyDescent="0.2">
      <c r="B425" s="316" t="s">
        <v>59</v>
      </c>
      <c r="C425" s="317"/>
      <c r="D425" s="317"/>
      <c r="E425" s="102">
        <f>E409+E400+E391+E382</f>
        <v>721475.33759415615</v>
      </c>
      <c r="F425" s="102">
        <f t="shared" ref="F425:K425" si="111">F409+F400+F391+F382</f>
        <v>677088.55999999994</v>
      </c>
      <c r="G425" s="102">
        <f t="shared" si="111"/>
        <v>663747.67000000004</v>
      </c>
      <c r="H425" s="102">
        <f t="shared" si="111"/>
        <v>618838</v>
      </c>
      <c r="I425" s="102">
        <f t="shared" si="111"/>
        <v>612544.31999999983</v>
      </c>
      <c r="J425" s="102">
        <f t="shared" si="111"/>
        <v>594588.65</v>
      </c>
      <c r="K425" s="102">
        <f t="shared" si="111"/>
        <v>556266.34716129862</v>
      </c>
    </row>
    <row r="426" spans="2:12" ht="15" customHeight="1" x14ac:dyDescent="0.2">
      <c r="B426" s="398" t="s">
        <v>290</v>
      </c>
      <c r="C426" s="399"/>
      <c r="D426" s="399"/>
      <c r="E426" s="399"/>
      <c r="F426" s="399"/>
      <c r="G426" s="399"/>
      <c r="H426" s="399"/>
      <c r="I426" s="399"/>
      <c r="J426" s="399"/>
      <c r="K426" s="400"/>
    </row>
    <row r="427" spans="2:12" ht="15" customHeight="1" x14ac:dyDescent="0.2">
      <c r="B427" s="316" t="str">
        <f>B423</f>
        <v xml:space="preserve">  Customer/Connections</v>
      </c>
      <c r="C427" s="317"/>
      <c r="D427" s="317"/>
      <c r="E427" s="102"/>
      <c r="F427" s="327">
        <f>IF(ISERROR((F423-$E423)/$E423),0,(F423-$E423)/$E423)</f>
        <v>-8.6903132277099462E-3</v>
      </c>
      <c r="G427" s="327">
        <f t="shared" ref="G427:K427" si="112">IF(ISERROR((G423-$E423)/$E423),0,(G423-$E423)/$E423)</f>
        <v>-5.4141862751643215E-3</v>
      </c>
      <c r="H427" s="327">
        <f t="shared" si="112"/>
        <v>-6.804058315638223E-3</v>
      </c>
      <c r="I427" s="327">
        <f t="shared" si="112"/>
        <v>-6.2414910611606911E-3</v>
      </c>
      <c r="J427" s="327">
        <f t="shared" si="112"/>
        <v>-1.1039858819939635E-2</v>
      </c>
      <c r="K427" s="327">
        <f t="shared" si="112"/>
        <v>-1.127150416001862E-2</v>
      </c>
    </row>
    <row r="428" spans="2:12" ht="15" customHeight="1" x14ac:dyDescent="0.2">
      <c r="B428" s="316" t="str">
        <f>B424</f>
        <v xml:space="preserve">  kWh</v>
      </c>
      <c r="C428" s="317"/>
      <c r="D428" s="317"/>
      <c r="E428" s="102"/>
      <c r="F428" s="327">
        <f t="shared" ref="F428" si="113">IF(ISERROR((F424-$E424)/$E424),0,(F424-$E424)/$E424)</f>
        <v>5.2561586735838323E-3</v>
      </c>
      <c r="G428" s="327">
        <f>IF(ISERROR((G424-$E424)/$E424),0,(G424-$E424)/$E424)</f>
        <v>2.0694444763138514E-3</v>
      </c>
      <c r="H428" s="327">
        <f t="shared" ref="H428:K428" si="114">IF(ISERROR((H424-$E424)/$E424),0,(H424-$E424)/$E424)</f>
        <v>-2.7313340269155387E-2</v>
      </c>
      <c r="I428" s="327">
        <f t="shared" si="114"/>
        <v>-2.7569362546020493E-2</v>
      </c>
      <c r="J428" s="327">
        <f t="shared" si="114"/>
        <v>-4.5687183819277999E-2</v>
      </c>
      <c r="K428" s="327">
        <f t="shared" si="114"/>
        <v>-7.6276263952375328E-2</v>
      </c>
    </row>
    <row r="429" spans="2:12" ht="15" customHeight="1" x14ac:dyDescent="0.2">
      <c r="B429" s="316" t="str">
        <f>B425</f>
        <v xml:space="preserve">  kW from applicable classes</v>
      </c>
      <c r="C429" s="317"/>
      <c r="D429" s="317"/>
      <c r="E429" s="102"/>
      <c r="F429" s="327">
        <f t="shared" ref="F429:K429" si="115">IF(ISERROR((F425-$E425)/$E425),0,(F425-$E425)/$E425)</f>
        <v>-6.1522238226699631E-2</v>
      </c>
      <c r="G429" s="327">
        <f t="shared" si="115"/>
        <v>-8.0013362323174853E-2</v>
      </c>
      <c r="H429" s="327">
        <f t="shared" si="115"/>
        <v>-0.14226035492275085</v>
      </c>
      <c r="I429" s="327">
        <f t="shared" si="115"/>
        <v>-0.15098370230838318</v>
      </c>
      <c r="J429" s="327">
        <f t="shared" si="115"/>
        <v>-0.1758711365204452</v>
      </c>
      <c r="K429" s="327">
        <f t="shared" si="115"/>
        <v>-0.22898771700743953</v>
      </c>
    </row>
    <row r="430" spans="2:12" ht="15" customHeight="1" x14ac:dyDescent="0.2">
      <c r="F430" s="75"/>
      <c r="G430" s="75"/>
      <c r="H430" s="75"/>
      <c r="I430" s="75"/>
      <c r="J430" s="75"/>
      <c r="K430" s="75"/>
    </row>
    <row r="431" spans="2:12" ht="15" customHeight="1" x14ac:dyDescent="0.2">
      <c r="B431" s="393" t="s">
        <v>297</v>
      </c>
      <c r="C431" s="393"/>
      <c r="D431" s="393"/>
      <c r="E431" s="393"/>
      <c r="F431" s="393"/>
      <c r="G431" s="393"/>
      <c r="H431" s="393"/>
      <c r="I431" s="393"/>
      <c r="J431" s="393"/>
      <c r="K431" s="393"/>
      <c r="L431" s="393"/>
    </row>
    <row r="432" spans="2:12" ht="15" customHeight="1" x14ac:dyDescent="0.2">
      <c r="B432" s="394"/>
      <c r="C432" s="395"/>
      <c r="D432" s="396"/>
      <c r="E432" s="394" t="s">
        <v>291</v>
      </c>
      <c r="F432" s="395"/>
      <c r="G432" s="396"/>
      <c r="H432" s="397" t="s">
        <v>174</v>
      </c>
      <c r="I432" s="397"/>
      <c r="J432" s="397" t="s">
        <v>292</v>
      </c>
      <c r="K432" s="397"/>
      <c r="L432" s="370"/>
    </row>
    <row r="433" spans="2:14" ht="22.5" x14ac:dyDescent="0.2">
      <c r="B433" s="390" t="s">
        <v>295</v>
      </c>
      <c r="C433" s="391"/>
      <c r="D433" s="392"/>
      <c r="E433" s="329" t="s">
        <v>296</v>
      </c>
      <c r="F433" s="330" t="s">
        <v>252</v>
      </c>
      <c r="G433" s="330" t="s">
        <v>42</v>
      </c>
      <c r="H433" s="329" t="str">
        <f>E433</f>
        <v xml:space="preserve">2010 Board Approved </v>
      </c>
      <c r="I433" s="330" t="str">
        <f>F433</f>
        <v xml:space="preserve">2010 Actual </v>
      </c>
      <c r="J433" s="329" t="str">
        <f>E433</f>
        <v xml:space="preserve">2010 Board Approved </v>
      </c>
      <c r="K433" s="330" t="str">
        <f>F433</f>
        <v xml:space="preserve">2010 Actual </v>
      </c>
      <c r="L433" s="329" t="s">
        <v>293</v>
      </c>
    </row>
    <row r="434" spans="2:14" ht="15" customHeight="1" x14ac:dyDescent="0.2">
      <c r="B434" s="336" t="str">
        <f>Summary!A19</f>
        <v xml:space="preserve">Residential </v>
      </c>
      <c r="C434" s="337"/>
      <c r="D434" s="338"/>
      <c r="E434" s="331">
        <f>E366</f>
        <v>21074.599775267321</v>
      </c>
      <c r="F434" s="331">
        <f>$F$366</f>
        <v>20952</v>
      </c>
      <c r="G434" s="332">
        <f>F434-E434</f>
        <v>-122.59977526732109</v>
      </c>
      <c r="H434" s="333">
        <f>E367</f>
        <v>214923813.26380745</v>
      </c>
      <c r="I434" s="333">
        <f>$F$367</f>
        <v>206535117.74999696</v>
      </c>
      <c r="J434" s="331"/>
      <c r="K434" s="334"/>
      <c r="L434" s="335">
        <f>I434-H434</f>
        <v>-8388695.5138104856</v>
      </c>
      <c r="N434"/>
    </row>
    <row r="435" spans="2:14" ht="15" customHeight="1" x14ac:dyDescent="0.2">
      <c r="B435" s="336" t="str">
        <f>Summary!A23</f>
        <v>General Service &lt; 50 kW</v>
      </c>
      <c r="C435" s="337"/>
      <c r="D435" s="338"/>
      <c r="E435" s="331">
        <f>E373</f>
        <v>2645.0908528964555</v>
      </c>
      <c r="F435" s="331">
        <f>$F$373</f>
        <v>2633</v>
      </c>
      <c r="G435" s="332">
        <f t="shared" ref="G435:G440" si="116">F435-E435</f>
        <v>-12.090852896455544</v>
      </c>
      <c r="H435" s="333">
        <f>E374</f>
        <v>85026017.025025979</v>
      </c>
      <c r="I435" s="333">
        <f>$F$374</f>
        <v>85042099.07000047</v>
      </c>
      <c r="J435" s="331"/>
      <c r="K435" s="334"/>
      <c r="L435" s="335">
        <f>I435-H435</f>
        <v>16082.044974491</v>
      </c>
    </row>
    <row r="436" spans="2:14" ht="15" customHeight="1" x14ac:dyDescent="0.2">
      <c r="B436" s="336" t="str">
        <f>Summary!A27</f>
        <v>General Service 50 to 2999 kW</v>
      </c>
      <c r="C436" s="337"/>
      <c r="D436" s="338"/>
      <c r="E436" s="331">
        <f>E380</f>
        <v>286.70378865077754</v>
      </c>
      <c r="F436" s="331">
        <f>$F$380</f>
        <v>269</v>
      </c>
      <c r="G436" s="332">
        <f t="shared" si="116"/>
        <v>-17.70378865077754</v>
      </c>
      <c r="H436" s="333"/>
      <c r="I436" s="333"/>
      <c r="J436" s="331">
        <f>E382</f>
        <v>638329.56446517538</v>
      </c>
      <c r="K436" s="331">
        <f>$F$382</f>
        <v>588203.21</v>
      </c>
      <c r="L436" s="335">
        <f>K436-J436</f>
        <v>-50126.35446517542</v>
      </c>
    </row>
    <row r="437" spans="2:14" ht="15" customHeight="1" x14ac:dyDescent="0.2">
      <c r="B437" s="336" t="str">
        <f>Summary!A32</f>
        <v>General Service 3000 to 4999 kW</v>
      </c>
      <c r="C437" s="337"/>
      <c r="D437" s="338"/>
      <c r="E437" s="331">
        <f>E389</f>
        <v>2</v>
      </c>
      <c r="F437" s="331">
        <f>$F$389</f>
        <v>2</v>
      </c>
      <c r="G437" s="332">
        <f t="shared" si="116"/>
        <v>0</v>
      </c>
      <c r="H437" s="333"/>
      <c r="I437" s="333"/>
      <c r="J437" s="331">
        <f>E391</f>
        <v>74105.743038896224</v>
      </c>
      <c r="K437" s="331">
        <f>$F$391</f>
        <v>78059.55</v>
      </c>
      <c r="L437" s="335">
        <f>K437-J437</f>
        <v>3953.806961103779</v>
      </c>
    </row>
    <row r="438" spans="2:14" ht="15" customHeight="1" x14ac:dyDescent="0.2">
      <c r="B438" s="336" t="str">
        <f>Summary!A37</f>
        <v>Street Lighting</v>
      </c>
      <c r="C438" s="337"/>
      <c r="D438" s="338"/>
      <c r="E438" s="331">
        <f>E398</f>
        <v>5680.2147622573266</v>
      </c>
      <c r="F438" s="331">
        <f>$F$398</f>
        <v>5572</v>
      </c>
      <c r="G438" s="332">
        <f t="shared" si="116"/>
        <v>-108.21476225732658</v>
      </c>
      <c r="H438" s="333"/>
      <c r="I438" s="333"/>
      <c r="J438" s="331">
        <f>E400</f>
        <v>7658.3680565890891</v>
      </c>
      <c r="K438" s="331">
        <f>$F$400</f>
        <v>9284.76</v>
      </c>
      <c r="L438" s="335">
        <f>K438-J438</f>
        <v>1626.3919434109112</v>
      </c>
    </row>
    <row r="439" spans="2:14" ht="15" customHeight="1" x14ac:dyDescent="0.2">
      <c r="B439" s="336" t="str">
        <f>Summary!A42</f>
        <v>Sentinel Lighting</v>
      </c>
      <c r="C439" s="337"/>
      <c r="D439" s="338"/>
      <c r="E439" s="331">
        <f>E407</f>
        <v>509</v>
      </c>
      <c r="F439" s="331">
        <f>$F$407</f>
        <v>509</v>
      </c>
      <c r="G439" s="332">
        <f t="shared" si="116"/>
        <v>0</v>
      </c>
      <c r="H439" s="333"/>
      <c r="I439" s="333"/>
      <c r="J439" s="331">
        <f>E409</f>
        <v>1381.6620334954785</v>
      </c>
      <c r="K439" s="331">
        <f>$F$409</f>
        <v>1541.04</v>
      </c>
      <c r="L439" s="335">
        <f>K439-J439</f>
        <v>159.37796650452151</v>
      </c>
    </row>
    <row r="440" spans="2:14" ht="15" customHeight="1" x14ac:dyDescent="0.2">
      <c r="B440" s="336" t="str">
        <f>Summary!A47</f>
        <v xml:space="preserve">Unmetered Scattered Load </v>
      </c>
      <c r="C440" s="337"/>
      <c r="D440" s="338"/>
      <c r="E440" s="331">
        <f>E416</f>
        <v>21</v>
      </c>
      <c r="F440" s="331">
        <f>$F$416</f>
        <v>19</v>
      </c>
      <c r="G440" s="332">
        <f t="shared" si="116"/>
        <v>-2</v>
      </c>
      <c r="H440" s="333">
        <f>E417</f>
        <v>337294.44147720787</v>
      </c>
      <c r="I440" s="333">
        <f>$F$417</f>
        <v>165123.38</v>
      </c>
      <c r="J440" s="331"/>
      <c r="K440" s="334"/>
      <c r="L440" s="335">
        <f>I440-H440</f>
        <v>-172171.06147720787</v>
      </c>
    </row>
    <row r="441" spans="2:14" ht="15" customHeight="1" x14ac:dyDescent="0.2">
      <c r="B441" s="336" t="s">
        <v>18</v>
      </c>
      <c r="C441" s="337"/>
      <c r="D441" s="338"/>
      <c r="E441" s="331">
        <f>SUM(E434:E440)</f>
        <v>30218.609179071886</v>
      </c>
      <c r="F441" s="331">
        <f>SUM(F434:F440)</f>
        <v>29956</v>
      </c>
      <c r="G441" s="332">
        <f t="shared" ref="G441:K441" si="117">SUM(G434:G440)</f>
        <v>-262.60917907188076</v>
      </c>
      <c r="H441" s="333">
        <f t="shared" si="117"/>
        <v>300287124.73031062</v>
      </c>
      <c r="I441" s="333">
        <f t="shared" si="117"/>
        <v>291742340.19999743</v>
      </c>
      <c r="J441" s="333">
        <f t="shared" si="117"/>
        <v>721475.33759415615</v>
      </c>
      <c r="K441" s="333">
        <f t="shared" si="117"/>
        <v>677088.56</v>
      </c>
      <c r="L441" s="335"/>
    </row>
    <row r="443" spans="2:14" ht="15" customHeight="1" x14ac:dyDescent="0.2">
      <c r="B443" s="393" t="s">
        <v>298</v>
      </c>
      <c r="C443" s="393"/>
      <c r="D443" s="393"/>
      <c r="E443" s="393"/>
      <c r="F443" s="393"/>
      <c r="G443" s="393"/>
      <c r="H443" s="393"/>
      <c r="I443" s="393"/>
      <c r="J443" s="393"/>
      <c r="K443" s="393"/>
      <c r="L443" s="393"/>
    </row>
    <row r="444" spans="2:14" ht="15" customHeight="1" x14ac:dyDescent="0.2">
      <c r="B444" s="394"/>
      <c r="C444" s="395"/>
      <c r="D444" s="396"/>
      <c r="E444" s="394" t="s">
        <v>291</v>
      </c>
      <c r="F444" s="395"/>
      <c r="G444" s="396"/>
      <c r="H444" s="397" t="s">
        <v>174</v>
      </c>
      <c r="I444" s="397"/>
      <c r="J444" s="397" t="s">
        <v>292</v>
      </c>
      <c r="K444" s="397"/>
      <c r="L444" s="370"/>
    </row>
    <row r="445" spans="2:14" ht="22.5" x14ac:dyDescent="0.2">
      <c r="B445" s="390" t="s">
        <v>295</v>
      </c>
      <c r="C445" s="391"/>
      <c r="D445" s="392"/>
      <c r="E445" s="330" t="s">
        <v>252</v>
      </c>
      <c r="F445" s="330" t="s">
        <v>253</v>
      </c>
      <c r="G445" s="330" t="s">
        <v>42</v>
      </c>
      <c r="H445" s="329" t="str">
        <f>E445</f>
        <v xml:space="preserve">2010 Actual </v>
      </c>
      <c r="I445" s="330" t="str">
        <f>F445</f>
        <v xml:space="preserve">2011 Actual </v>
      </c>
      <c r="J445" s="329" t="str">
        <f>E445</f>
        <v xml:space="preserve">2010 Actual </v>
      </c>
      <c r="K445" s="330" t="str">
        <f>F445</f>
        <v xml:space="preserve">2011 Actual </v>
      </c>
      <c r="L445" s="329" t="s">
        <v>293</v>
      </c>
    </row>
    <row r="446" spans="2:14" ht="15" customHeight="1" x14ac:dyDescent="0.2">
      <c r="B446" s="336" t="str">
        <f>B434</f>
        <v xml:space="preserve">Residential </v>
      </c>
      <c r="C446" s="337"/>
      <c r="D446" s="338"/>
      <c r="E446" s="331">
        <f>F366</f>
        <v>20952</v>
      </c>
      <c r="F446" s="331">
        <f>$G$366</f>
        <v>21096</v>
      </c>
      <c r="G446" s="332">
        <f>F446-E446</f>
        <v>144</v>
      </c>
      <c r="H446" s="333">
        <f>F367</f>
        <v>206535117.74999696</v>
      </c>
      <c r="I446" s="333">
        <f>$G$367</f>
        <v>207358082.23000044</v>
      </c>
      <c r="J446" s="331"/>
      <c r="K446" s="334"/>
      <c r="L446" s="335">
        <f>I446-H446</f>
        <v>822964.48000347614</v>
      </c>
    </row>
    <row r="447" spans="2:14" ht="15" customHeight="1" x14ac:dyDescent="0.2">
      <c r="B447" s="336" t="str">
        <f t="shared" ref="B447:B452" si="118">B435</f>
        <v>General Service &lt; 50 kW</v>
      </c>
      <c r="C447" s="337"/>
      <c r="D447" s="338"/>
      <c r="E447" s="331">
        <f>F373</f>
        <v>2633</v>
      </c>
      <c r="F447" s="331">
        <f>$G$373</f>
        <v>2623</v>
      </c>
      <c r="G447" s="332">
        <f t="shared" ref="G447:G452" si="119">F447-E447</f>
        <v>-10</v>
      </c>
      <c r="H447" s="333">
        <f>F374</f>
        <v>85042099.07000047</v>
      </c>
      <c r="I447" s="333">
        <f>$G$374</f>
        <v>85023143.980002552</v>
      </c>
      <c r="J447" s="331"/>
      <c r="K447" s="334"/>
      <c r="L447" s="335">
        <f>I447-H447</f>
        <v>-18955.089997917414</v>
      </c>
    </row>
    <row r="448" spans="2:14" ht="15" customHeight="1" x14ac:dyDescent="0.2">
      <c r="B448" s="336" t="str">
        <f t="shared" si="118"/>
        <v>General Service 50 to 2999 kW</v>
      </c>
      <c r="C448" s="337"/>
      <c r="D448" s="338"/>
      <c r="E448" s="331">
        <f>F380</f>
        <v>269</v>
      </c>
      <c r="F448" s="331">
        <f>$G$380</f>
        <v>268</v>
      </c>
      <c r="G448" s="332">
        <f t="shared" si="119"/>
        <v>-1</v>
      </c>
      <c r="H448" s="333"/>
      <c r="I448" s="333"/>
      <c r="J448" s="331">
        <f>F382</f>
        <v>588203.21</v>
      </c>
      <c r="K448" s="331">
        <f>$G$382</f>
        <v>582945.86</v>
      </c>
      <c r="L448" s="335">
        <f>K448-J448</f>
        <v>-5257.3499999999767</v>
      </c>
    </row>
    <row r="449" spans="2:12" ht="15" customHeight="1" x14ac:dyDescent="0.2">
      <c r="B449" s="336" t="str">
        <f t="shared" si="118"/>
        <v>General Service 3000 to 4999 kW</v>
      </c>
      <c r="C449" s="337"/>
      <c r="D449" s="338"/>
      <c r="E449" s="331">
        <f>F389</f>
        <v>2</v>
      </c>
      <c r="F449" s="331">
        <f>$G$389</f>
        <v>2</v>
      </c>
      <c r="G449" s="332">
        <f t="shared" si="119"/>
        <v>0</v>
      </c>
      <c r="H449" s="333"/>
      <c r="I449" s="333"/>
      <c r="J449" s="331">
        <f>F391</f>
        <v>78059.55</v>
      </c>
      <c r="K449" s="331">
        <f>$G$391</f>
        <v>70473.350000000006</v>
      </c>
      <c r="L449" s="335">
        <f>K449-J449</f>
        <v>-7586.1999999999971</v>
      </c>
    </row>
    <row r="450" spans="2:12" ht="15" customHeight="1" x14ac:dyDescent="0.2">
      <c r="B450" s="336" t="str">
        <f t="shared" si="118"/>
        <v>Street Lighting</v>
      </c>
      <c r="C450" s="337"/>
      <c r="D450" s="338"/>
      <c r="E450" s="331">
        <f>F398</f>
        <v>5572</v>
      </c>
      <c r="F450" s="331">
        <f>$G$398</f>
        <v>5574</v>
      </c>
      <c r="G450" s="332">
        <f t="shared" si="119"/>
        <v>2</v>
      </c>
      <c r="H450" s="333"/>
      <c r="I450" s="333"/>
      <c r="J450" s="331">
        <f>F400</f>
        <v>9284.76</v>
      </c>
      <c r="K450" s="331">
        <f>$G$400</f>
        <v>9041.75</v>
      </c>
      <c r="L450" s="335">
        <f>K450-J450</f>
        <v>-243.01000000000022</v>
      </c>
    </row>
    <row r="451" spans="2:12" ht="15" customHeight="1" x14ac:dyDescent="0.2">
      <c r="B451" s="336" t="str">
        <f t="shared" si="118"/>
        <v>Sentinel Lighting</v>
      </c>
      <c r="C451" s="337"/>
      <c r="D451" s="338"/>
      <c r="E451" s="331">
        <f>F407</f>
        <v>509</v>
      </c>
      <c r="F451" s="331">
        <f>$G$407</f>
        <v>474</v>
      </c>
      <c r="G451" s="332">
        <f t="shared" si="119"/>
        <v>-35</v>
      </c>
      <c r="H451" s="333"/>
      <c r="I451" s="333"/>
      <c r="J451" s="331">
        <f>F409</f>
        <v>1541.04</v>
      </c>
      <c r="K451" s="331">
        <f>$G$409</f>
        <v>1286.7100000000016</v>
      </c>
      <c r="L451" s="335">
        <f>K451-J451</f>
        <v>-254.32999999999834</v>
      </c>
    </row>
    <row r="452" spans="2:12" ht="15" customHeight="1" x14ac:dyDescent="0.2">
      <c r="B452" s="336" t="str">
        <f t="shared" si="118"/>
        <v xml:space="preserve">Unmetered Scattered Load </v>
      </c>
      <c r="C452" s="337"/>
      <c r="D452" s="338"/>
      <c r="E452" s="331">
        <f>F416</f>
        <v>19</v>
      </c>
      <c r="F452" s="331">
        <f>$G$416</f>
        <v>18</v>
      </c>
      <c r="G452" s="332">
        <f t="shared" si="119"/>
        <v>-1</v>
      </c>
      <c r="H452" s="333">
        <f>F417</f>
        <v>165123.38</v>
      </c>
      <c r="I452" s="333">
        <f>$G$417</f>
        <v>84073.43</v>
      </c>
      <c r="J452" s="331"/>
      <c r="K452" s="334"/>
      <c r="L452" s="335">
        <f>I452-H452</f>
        <v>-81049.950000000012</v>
      </c>
    </row>
    <row r="453" spans="2:12" ht="15" customHeight="1" x14ac:dyDescent="0.2">
      <c r="B453" s="336" t="s">
        <v>18</v>
      </c>
      <c r="C453" s="337"/>
      <c r="D453" s="338"/>
      <c r="E453" s="331">
        <f>SUM(E446:E452)</f>
        <v>29956</v>
      </c>
      <c r="F453" s="331">
        <f>SUM(F446:F452)</f>
        <v>30055</v>
      </c>
      <c r="G453" s="332">
        <f t="shared" ref="G453:K453" si="120">SUM(G446:G452)</f>
        <v>99</v>
      </c>
      <c r="H453" s="333">
        <f>I441</f>
        <v>291742340.19999743</v>
      </c>
      <c r="I453" s="333">
        <f t="shared" si="120"/>
        <v>292465299.64000303</v>
      </c>
      <c r="J453" s="333">
        <f t="shared" si="120"/>
        <v>677088.56</v>
      </c>
      <c r="K453" s="333">
        <f t="shared" si="120"/>
        <v>663747.66999999993</v>
      </c>
      <c r="L453" s="335"/>
    </row>
    <row r="455" spans="2:12" ht="15" customHeight="1" x14ac:dyDescent="0.2">
      <c r="B455" s="393" t="s">
        <v>299</v>
      </c>
      <c r="C455" s="393"/>
      <c r="D455" s="393"/>
      <c r="E455" s="393"/>
      <c r="F455" s="393"/>
      <c r="G455" s="393"/>
      <c r="H455" s="393"/>
      <c r="I455" s="393"/>
      <c r="J455" s="393"/>
      <c r="K455" s="393"/>
      <c r="L455" s="393"/>
    </row>
    <row r="456" spans="2:12" ht="15" customHeight="1" x14ac:dyDescent="0.2">
      <c r="B456" s="394"/>
      <c r="C456" s="395"/>
      <c r="D456" s="396"/>
      <c r="E456" s="394" t="s">
        <v>291</v>
      </c>
      <c r="F456" s="395"/>
      <c r="G456" s="396"/>
      <c r="H456" s="397" t="s">
        <v>174</v>
      </c>
      <c r="I456" s="397"/>
      <c r="J456" s="397" t="s">
        <v>292</v>
      </c>
      <c r="K456" s="397"/>
      <c r="L456" s="370"/>
    </row>
    <row r="457" spans="2:12" ht="22.5" x14ac:dyDescent="0.2">
      <c r="B457" s="390" t="s">
        <v>295</v>
      </c>
      <c r="C457" s="391"/>
      <c r="D457" s="392"/>
      <c r="E457" s="330" t="s">
        <v>152</v>
      </c>
      <c r="F457" s="330" t="s">
        <v>169</v>
      </c>
      <c r="G457" s="330" t="s">
        <v>42</v>
      </c>
      <c r="H457" s="329" t="str">
        <f>E457</f>
        <v>2011 Actual</v>
      </c>
      <c r="I457" s="330" t="str">
        <f>F457</f>
        <v>2012 Actual</v>
      </c>
      <c r="J457" s="329" t="str">
        <f>E457</f>
        <v>2011 Actual</v>
      </c>
      <c r="K457" s="330" t="str">
        <f>F457</f>
        <v>2012 Actual</v>
      </c>
      <c r="L457" s="329" t="s">
        <v>293</v>
      </c>
    </row>
    <row r="458" spans="2:12" ht="15" customHeight="1" x14ac:dyDescent="0.2">
      <c r="B458" s="336" t="str">
        <f>B446</f>
        <v xml:space="preserve">Residential </v>
      </c>
      <c r="C458" s="337"/>
      <c r="D458" s="338"/>
      <c r="E458" s="331">
        <f>G366</f>
        <v>21096</v>
      </c>
      <c r="F458" s="331">
        <f>$H$366</f>
        <v>21074</v>
      </c>
      <c r="G458" s="332">
        <f>F458-E458</f>
        <v>-22</v>
      </c>
      <c r="H458" s="333">
        <f>G367</f>
        <v>207358082.23000044</v>
      </c>
      <c r="I458" s="333">
        <f>$H$367</f>
        <v>200614424.25000054</v>
      </c>
      <c r="J458" s="331"/>
      <c r="K458" s="334"/>
      <c r="L458" s="335">
        <f>I458-H458</f>
        <v>-6743657.9799998999</v>
      </c>
    </row>
    <row r="459" spans="2:12" ht="15" customHeight="1" x14ac:dyDescent="0.2">
      <c r="B459" s="336" t="str">
        <f t="shared" ref="B459:B464" si="121">B447</f>
        <v>General Service &lt; 50 kW</v>
      </c>
      <c r="C459" s="337"/>
      <c r="D459" s="338"/>
      <c r="E459" s="331">
        <f>G373</f>
        <v>2623</v>
      </c>
      <c r="F459" s="331">
        <f>$H$373</f>
        <v>2645</v>
      </c>
      <c r="G459" s="332">
        <f t="shared" ref="G459:G464" si="122">F459-E459</f>
        <v>22</v>
      </c>
      <c r="H459" s="333">
        <f>G374</f>
        <v>85023143.980002552</v>
      </c>
      <c r="I459" s="333">
        <f>$H$374</f>
        <v>84948670.560000002</v>
      </c>
      <c r="J459" s="331"/>
      <c r="K459" s="334"/>
      <c r="L459" s="335">
        <f>I459-H459</f>
        <v>-74473.420002549887</v>
      </c>
    </row>
    <row r="460" spans="2:12" ht="15" customHeight="1" x14ac:dyDescent="0.2">
      <c r="B460" s="336" t="str">
        <f t="shared" si="121"/>
        <v>General Service 50 to 2999 kW</v>
      </c>
      <c r="C460" s="337"/>
      <c r="D460" s="338"/>
      <c r="E460" s="331">
        <f>G380</f>
        <v>268</v>
      </c>
      <c r="F460" s="331">
        <f>$H$380</f>
        <v>254</v>
      </c>
      <c r="G460" s="332">
        <f t="shared" si="122"/>
        <v>-14</v>
      </c>
      <c r="H460" s="333"/>
      <c r="I460" s="333"/>
      <c r="J460" s="331">
        <f>G382</f>
        <v>582945.86</v>
      </c>
      <c r="K460" s="331">
        <f>$H$382</f>
        <v>540969</v>
      </c>
      <c r="L460" s="335">
        <f>K460-J460</f>
        <v>-41976.859999999986</v>
      </c>
    </row>
    <row r="461" spans="2:12" ht="15" customHeight="1" x14ac:dyDescent="0.2">
      <c r="B461" s="336" t="str">
        <f t="shared" si="121"/>
        <v>General Service 3000 to 4999 kW</v>
      </c>
      <c r="C461" s="337"/>
      <c r="D461" s="338"/>
      <c r="E461" s="331">
        <f>G389</f>
        <v>2</v>
      </c>
      <c r="F461" s="331">
        <f>$H$389</f>
        <v>2</v>
      </c>
      <c r="G461" s="332">
        <f t="shared" si="122"/>
        <v>0</v>
      </c>
      <c r="H461" s="333"/>
      <c r="I461" s="333"/>
      <c r="J461" s="331">
        <f>G391</f>
        <v>70473.350000000006</v>
      </c>
      <c r="K461" s="331">
        <f>$H$391</f>
        <v>68480</v>
      </c>
      <c r="L461" s="335">
        <f>K461-J461</f>
        <v>-1993.3500000000058</v>
      </c>
    </row>
    <row r="462" spans="2:12" ht="15" customHeight="1" x14ac:dyDescent="0.2">
      <c r="B462" s="336" t="str">
        <f t="shared" si="121"/>
        <v>Street Lighting</v>
      </c>
      <c r="C462" s="337"/>
      <c r="D462" s="338"/>
      <c r="E462" s="331">
        <f>G398</f>
        <v>5574</v>
      </c>
      <c r="F462" s="331">
        <f>$H$398</f>
        <v>5574</v>
      </c>
      <c r="G462" s="332">
        <f t="shared" si="122"/>
        <v>0</v>
      </c>
      <c r="H462" s="333"/>
      <c r="I462" s="333"/>
      <c r="J462" s="331">
        <f>G400</f>
        <v>9041.75</v>
      </c>
      <c r="K462" s="331">
        <f>$H$400</f>
        <v>7788</v>
      </c>
      <c r="L462" s="335">
        <f>K462-J462</f>
        <v>-1253.75</v>
      </c>
    </row>
    <row r="463" spans="2:12" ht="15" customHeight="1" x14ac:dyDescent="0.2">
      <c r="B463" s="336" t="str">
        <f t="shared" si="121"/>
        <v>Sentinel Lighting</v>
      </c>
      <c r="C463" s="337"/>
      <c r="D463" s="338"/>
      <c r="E463" s="331">
        <f>G407</f>
        <v>474</v>
      </c>
      <c r="F463" s="331">
        <f>$H$407</f>
        <v>447</v>
      </c>
      <c r="G463" s="332">
        <f t="shared" si="122"/>
        <v>-27</v>
      </c>
      <c r="H463" s="333"/>
      <c r="I463" s="333"/>
      <c r="J463" s="331">
        <f>G409</f>
        <v>1286.7100000000016</v>
      </c>
      <c r="K463" s="331">
        <f>$H$409</f>
        <v>1601</v>
      </c>
      <c r="L463" s="335">
        <f>K463-J463</f>
        <v>314.28999999999837</v>
      </c>
    </row>
    <row r="464" spans="2:12" ht="15" customHeight="1" x14ac:dyDescent="0.2">
      <c r="B464" s="336" t="str">
        <f t="shared" si="121"/>
        <v xml:space="preserve">Unmetered Scattered Load </v>
      </c>
      <c r="C464" s="337"/>
      <c r="D464" s="338"/>
      <c r="E464" s="331">
        <f>G416</f>
        <v>18</v>
      </c>
      <c r="F464" s="331">
        <f>$H$416</f>
        <v>17</v>
      </c>
      <c r="G464" s="332">
        <f t="shared" si="122"/>
        <v>-1</v>
      </c>
      <c r="H464" s="333">
        <f>G417</f>
        <v>84073.43</v>
      </c>
      <c r="I464" s="333">
        <f>$H$417</f>
        <v>88774.489999999976</v>
      </c>
      <c r="J464" s="331"/>
      <c r="K464" s="334"/>
      <c r="L464" s="335">
        <f>I464-H464</f>
        <v>4701.0599999999831</v>
      </c>
    </row>
    <row r="465" spans="2:12" ht="15" customHeight="1" x14ac:dyDescent="0.2">
      <c r="B465" s="336" t="s">
        <v>18</v>
      </c>
      <c r="C465" s="337"/>
      <c r="D465" s="338"/>
      <c r="E465" s="331">
        <f>SUM(E458:E464)</f>
        <v>30055</v>
      </c>
      <c r="F465" s="331">
        <f>SUM(F458:F464)</f>
        <v>30013</v>
      </c>
      <c r="G465" s="332">
        <f t="shared" ref="G465" si="123">SUM(G458:G464)</f>
        <v>-42</v>
      </c>
      <c r="H465" s="333">
        <f>I453</f>
        <v>292465299.64000303</v>
      </c>
      <c r="I465" s="333">
        <f t="shared" ref="I465:K465" si="124">SUM(I458:I464)</f>
        <v>285651869.30000055</v>
      </c>
      <c r="J465" s="333">
        <f t="shared" si="124"/>
        <v>663747.66999999993</v>
      </c>
      <c r="K465" s="333">
        <f t="shared" si="124"/>
        <v>618838</v>
      </c>
      <c r="L465" s="335"/>
    </row>
    <row r="467" spans="2:12" ht="15" customHeight="1" x14ac:dyDescent="0.2">
      <c r="B467" s="393" t="s">
        <v>300</v>
      </c>
      <c r="C467" s="393"/>
      <c r="D467" s="393"/>
      <c r="E467" s="393"/>
      <c r="F467" s="393"/>
      <c r="G467" s="393"/>
      <c r="H467" s="393"/>
      <c r="I467" s="393"/>
      <c r="J467" s="393"/>
      <c r="K467" s="393"/>
      <c r="L467" s="393"/>
    </row>
    <row r="468" spans="2:12" ht="15" customHeight="1" x14ac:dyDescent="0.2">
      <c r="B468" s="394"/>
      <c r="C468" s="395"/>
      <c r="D468" s="396"/>
      <c r="E468" s="394" t="s">
        <v>291</v>
      </c>
      <c r="F468" s="395"/>
      <c r="G468" s="396"/>
      <c r="H468" s="397" t="s">
        <v>174</v>
      </c>
      <c r="I468" s="397"/>
      <c r="J468" s="397" t="s">
        <v>292</v>
      </c>
      <c r="K468" s="397"/>
      <c r="L468" s="370"/>
    </row>
    <row r="469" spans="2:12" ht="22.5" x14ac:dyDescent="0.2">
      <c r="B469" s="390" t="s">
        <v>295</v>
      </c>
      <c r="C469" s="391"/>
      <c r="D469" s="392"/>
      <c r="E469" s="330" t="s">
        <v>169</v>
      </c>
      <c r="F469" s="330" t="s">
        <v>180</v>
      </c>
      <c r="G469" s="330" t="s">
        <v>42</v>
      </c>
      <c r="H469" s="329" t="str">
        <f>E469</f>
        <v>2012 Actual</v>
      </c>
      <c r="I469" s="330" t="str">
        <f>F469</f>
        <v>2013 Actual</v>
      </c>
      <c r="J469" s="329" t="str">
        <f>E469</f>
        <v>2012 Actual</v>
      </c>
      <c r="K469" s="330" t="str">
        <f>F469</f>
        <v>2013 Actual</v>
      </c>
      <c r="L469" s="329" t="s">
        <v>293</v>
      </c>
    </row>
    <row r="470" spans="2:12" ht="15" customHeight="1" x14ac:dyDescent="0.2">
      <c r="B470" s="336" t="str">
        <f>B458</f>
        <v xml:space="preserve">Residential </v>
      </c>
      <c r="C470" s="337"/>
      <c r="D470" s="338"/>
      <c r="E470" s="331">
        <f>H366</f>
        <v>21074</v>
      </c>
      <c r="F470" s="331">
        <f>$I$366</f>
        <v>21108</v>
      </c>
      <c r="G470" s="332">
        <f>F470-E470</f>
        <v>34</v>
      </c>
      <c r="H470" s="333">
        <f>H367</f>
        <v>200614424.25000054</v>
      </c>
      <c r="I470" s="333">
        <f>$I$367</f>
        <v>207806639.26000017</v>
      </c>
      <c r="J470" s="331"/>
      <c r="K470" s="334"/>
      <c r="L470" s="335">
        <f>I470-H470</f>
        <v>7192215.0099996328</v>
      </c>
    </row>
    <row r="471" spans="2:12" ht="15" customHeight="1" x14ac:dyDescent="0.2">
      <c r="B471" s="336" t="str">
        <f t="shared" ref="B471:B476" si="125">B459</f>
        <v>General Service &lt; 50 kW</v>
      </c>
      <c r="C471" s="337"/>
      <c r="D471" s="338"/>
      <c r="E471" s="331">
        <f>H373</f>
        <v>2645</v>
      </c>
      <c r="F471" s="331">
        <f>$I$373</f>
        <v>2649</v>
      </c>
      <c r="G471" s="332">
        <f t="shared" ref="G471:G476" si="126">F471-E471</f>
        <v>4</v>
      </c>
      <c r="H471" s="333">
        <f>H374</f>
        <v>84948670.560000002</v>
      </c>
      <c r="I471" s="333">
        <f>$I$374</f>
        <v>85119330.710000545</v>
      </c>
      <c r="J471" s="331"/>
      <c r="K471" s="334"/>
      <c r="L471" s="335">
        <f>I471-H471</f>
        <v>170660.1500005424</v>
      </c>
    </row>
    <row r="472" spans="2:12" ht="15" customHeight="1" x14ac:dyDescent="0.2">
      <c r="B472" s="336" t="str">
        <f t="shared" si="125"/>
        <v>General Service 50 to 2999 kW</v>
      </c>
      <c r="C472" s="337"/>
      <c r="D472" s="338"/>
      <c r="E472" s="331">
        <f>H380</f>
        <v>254</v>
      </c>
      <c r="F472" s="331">
        <f>$I$380</f>
        <v>255</v>
      </c>
      <c r="G472" s="332">
        <f t="shared" si="126"/>
        <v>1</v>
      </c>
      <c r="H472" s="333"/>
      <c r="I472" s="333"/>
      <c r="J472" s="331">
        <f>H382</f>
        <v>540969</v>
      </c>
      <c r="K472" s="331">
        <f>$I$382</f>
        <v>535312.51999999979</v>
      </c>
      <c r="L472" s="335">
        <f>K472-J472</f>
        <v>-5656.4800000002142</v>
      </c>
    </row>
    <row r="473" spans="2:12" ht="15" customHeight="1" x14ac:dyDescent="0.2">
      <c r="B473" s="336" t="str">
        <f t="shared" si="125"/>
        <v>General Service 3000 to 4999 kW</v>
      </c>
      <c r="C473" s="337"/>
      <c r="D473" s="338"/>
      <c r="E473" s="331">
        <f>H389</f>
        <v>2</v>
      </c>
      <c r="F473" s="331">
        <f>$I$389</f>
        <v>2</v>
      </c>
      <c r="G473" s="332">
        <f t="shared" si="126"/>
        <v>0</v>
      </c>
      <c r="H473" s="333"/>
      <c r="I473" s="333"/>
      <c r="J473" s="331">
        <f>H391</f>
        <v>68480</v>
      </c>
      <c r="K473" s="331">
        <f>$I$391</f>
        <v>69448.33</v>
      </c>
      <c r="L473" s="335">
        <f>K473-J473</f>
        <v>968.33000000000175</v>
      </c>
    </row>
    <row r="474" spans="2:12" ht="15" customHeight="1" x14ac:dyDescent="0.2">
      <c r="B474" s="336" t="str">
        <f t="shared" si="125"/>
        <v>Street Lighting</v>
      </c>
      <c r="C474" s="337"/>
      <c r="D474" s="338"/>
      <c r="E474" s="331">
        <f>H398</f>
        <v>5574</v>
      </c>
      <c r="F474" s="331">
        <f>$I$398</f>
        <v>5574</v>
      </c>
      <c r="G474" s="332">
        <f t="shared" si="126"/>
        <v>0</v>
      </c>
      <c r="H474" s="333"/>
      <c r="I474" s="333"/>
      <c r="J474" s="331">
        <f>H400</f>
        <v>7788</v>
      </c>
      <c r="K474" s="331">
        <f>$I$400</f>
        <v>6559.4</v>
      </c>
      <c r="L474" s="335">
        <f>K474-J474</f>
        <v>-1228.6000000000004</v>
      </c>
    </row>
    <row r="475" spans="2:12" ht="15" customHeight="1" x14ac:dyDescent="0.2">
      <c r="B475" s="336" t="str">
        <f t="shared" si="125"/>
        <v>Sentinel Lighting</v>
      </c>
      <c r="C475" s="337"/>
      <c r="D475" s="338"/>
      <c r="E475" s="331">
        <f>H407</f>
        <v>447</v>
      </c>
      <c r="F475" s="331">
        <f>$I$407</f>
        <v>427</v>
      </c>
      <c r="G475" s="332">
        <f t="shared" si="126"/>
        <v>-20</v>
      </c>
      <c r="H475" s="333"/>
      <c r="I475" s="333"/>
      <c r="J475" s="331">
        <f>H409</f>
        <v>1601</v>
      </c>
      <c r="K475" s="331">
        <f>$I$409</f>
        <v>1224.070000000002</v>
      </c>
      <c r="L475" s="335">
        <f>K475-J475</f>
        <v>-376.92999999999802</v>
      </c>
    </row>
    <row r="476" spans="2:12" ht="15" customHeight="1" x14ac:dyDescent="0.2">
      <c r="B476" s="336" t="str">
        <f t="shared" si="125"/>
        <v xml:space="preserve">Unmetered Scattered Load </v>
      </c>
      <c r="C476" s="337"/>
      <c r="D476" s="338"/>
      <c r="E476" s="331">
        <f>H416</f>
        <v>17</v>
      </c>
      <c r="F476" s="331">
        <f>$I$416</f>
        <v>15</v>
      </c>
      <c r="G476" s="332">
        <f t="shared" si="126"/>
        <v>-2</v>
      </c>
      <c r="H476" s="333">
        <f>H417</f>
        <v>88774.489999999976</v>
      </c>
      <c r="I476" s="333">
        <f>$I$417</f>
        <v>89084.169999999984</v>
      </c>
      <c r="J476" s="331"/>
      <c r="K476" s="334"/>
      <c r="L476" s="335">
        <f>I476-H476</f>
        <v>309.68000000000757</v>
      </c>
    </row>
    <row r="477" spans="2:12" ht="15" customHeight="1" x14ac:dyDescent="0.2">
      <c r="B477" s="336" t="s">
        <v>18</v>
      </c>
      <c r="C477" s="337"/>
      <c r="D477" s="338"/>
      <c r="E477" s="331">
        <f>SUM(E470:E476)</f>
        <v>30013</v>
      </c>
      <c r="F477" s="331">
        <f>SUM(F470:F476)</f>
        <v>30030</v>
      </c>
      <c r="G477" s="332">
        <f t="shared" ref="G477" si="127">SUM(G470:G476)</f>
        <v>17</v>
      </c>
      <c r="H477" s="333">
        <f>I465</f>
        <v>285651869.30000055</v>
      </c>
      <c r="I477" s="333">
        <f t="shared" ref="I477:K477" si="128">SUM(I470:I476)</f>
        <v>293015054.14000076</v>
      </c>
      <c r="J477" s="333">
        <f t="shared" si="128"/>
        <v>618838</v>
      </c>
      <c r="K477" s="333">
        <f t="shared" si="128"/>
        <v>612544.31999999972</v>
      </c>
      <c r="L477" s="335"/>
    </row>
    <row r="479" spans="2:12" ht="15" customHeight="1" x14ac:dyDescent="0.2">
      <c r="B479" s="393" t="s">
        <v>302</v>
      </c>
      <c r="C479" s="393"/>
      <c r="D479" s="393"/>
      <c r="E479" s="393"/>
      <c r="F479" s="393"/>
      <c r="G479" s="393"/>
      <c r="H479" s="393"/>
      <c r="I479" s="393"/>
      <c r="J479" s="393"/>
      <c r="K479" s="393"/>
      <c r="L479" s="393"/>
    </row>
    <row r="480" spans="2:12" ht="15" customHeight="1" x14ac:dyDescent="0.2">
      <c r="B480" s="394"/>
      <c r="C480" s="395"/>
      <c r="D480" s="396"/>
      <c r="E480" s="394" t="s">
        <v>291</v>
      </c>
      <c r="F480" s="395"/>
      <c r="G480" s="396"/>
      <c r="H480" s="397" t="s">
        <v>174</v>
      </c>
      <c r="I480" s="397"/>
      <c r="J480" s="397" t="s">
        <v>292</v>
      </c>
      <c r="K480" s="397"/>
      <c r="L480" s="370"/>
    </row>
    <row r="481" spans="2:12" ht="22.5" x14ac:dyDescent="0.2">
      <c r="B481" s="390" t="s">
        <v>295</v>
      </c>
      <c r="C481" s="391"/>
      <c r="D481" s="392"/>
      <c r="E481" s="330" t="s">
        <v>180</v>
      </c>
      <c r="F481" s="330" t="s">
        <v>301</v>
      </c>
      <c r="G481" s="330" t="s">
        <v>42</v>
      </c>
      <c r="H481" s="329" t="str">
        <f>E481</f>
        <v>2013 Actual</v>
      </c>
      <c r="I481" s="330" t="str">
        <f>F481</f>
        <v>2014 Bridge</v>
      </c>
      <c r="J481" s="329" t="str">
        <f>E481</f>
        <v>2013 Actual</v>
      </c>
      <c r="K481" s="330" t="str">
        <f>F481</f>
        <v>2014 Bridge</v>
      </c>
      <c r="L481" s="329" t="s">
        <v>293</v>
      </c>
    </row>
    <row r="482" spans="2:12" ht="15" customHeight="1" x14ac:dyDescent="0.2">
      <c r="B482" s="336" t="str">
        <f>B470</f>
        <v xml:space="preserve">Residential </v>
      </c>
      <c r="C482" s="337"/>
      <c r="D482" s="338"/>
      <c r="E482" s="331">
        <f>I366</f>
        <v>21108</v>
      </c>
      <c r="F482" s="331">
        <f>$J$366</f>
        <v>21117</v>
      </c>
      <c r="G482" s="332">
        <f>F482-E482</f>
        <v>9</v>
      </c>
      <c r="H482" s="333">
        <f>I367</f>
        <v>207806639.26000017</v>
      </c>
      <c r="I482" s="333">
        <f>$J$367</f>
        <v>205950079.75000036</v>
      </c>
      <c r="J482" s="331"/>
      <c r="K482" s="334"/>
      <c r="L482" s="335">
        <f>I482-H482</f>
        <v>-1856559.5099998116</v>
      </c>
    </row>
    <row r="483" spans="2:12" ht="15" customHeight="1" x14ac:dyDescent="0.2">
      <c r="B483" s="336" t="str">
        <f t="shared" ref="B483:B488" si="129">B471</f>
        <v>General Service &lt; 50 kW</v>
      </c>
      <c r="C483" s="337"/>
      <c r="D483" s="338"/>
      <c r="E483" s="331">
        <f>I373</f>
        <v>2649</v>
      </c>
      <c r="F483" s="331">
        <f>$J$373</f>
        <v>2657</v>
      </c>
      <c r="G483" s="332">
        <f t="shared" ref="G483:G488" si="130">F483-E483</f>
        <v>8</v>
      </c>
      <c r="H483" s="333">
        <f>I374</f>
        <v>85119330.710000545</v>
      </c>
      <c r="I483" s="333">
        <f>$J$374</f>
        <v>85369054.680000916</v>
      </c>
      <c r="J483" s="331"/>
      <c r="K483" s="334"/>
      <c r="L483" s="335">
        <f>I483-H483</f>
        <v>249723.97000037134</v>
      </c>
    </row>
    <row r="484" spans="2:12" ht="15" customHeight="1" x14ac:dyDescent="0.2">
      <c r="B484" s="336" t="str">
        <f t="shared" si="129"/>
        <v>General Service 50 to 2999 kW</v>
      </c>
      <c r="C484" s="337"/>
      <c r="D484" s="338"/>
      <c r="E484" s="331">
        <f>I380</f>
        <v>255</v>
      </c>
      <c r="F484" s="331">
        <f>$J$380</f>
        <v>252</v>
      </c>
      <c r="G484" s="332">
        <f t="shared" si="130"/>
        <v>-3</v>
      </c>
      <c r="H484" s="333"/>
      <c r="I484" s="333"/>
      <c r="J484" s="331">
        <f>I382</f>
        <v>535312.51999999979</v>
      </c>
      <c r="K484" s="331">
        <f>$J$382</f>
        <v>533378.05000000005</v>
      </c>
      <c r="L484" s="335">
        <f>K484-J484</f>
        <v>-1934.4699999997392</v>
      </c>
    </row>
    <row r="485" spans="2:12" ht="15" customHeight="1" x14ac:dyDescent="0.2">
      <c r="B485" s="336" t="str">
        <f t="shared" si="129"/>
        <v>General Service 3000 to 4999 kW</v>
      </c>
      <c r="C485" s="337"/>
      <c r="D485" s="338"/>
      <c r="E485" s="331">
        <f>I389</f>
        <v>2</v>
      </c>
      <c r="F485" s="331">
        <f>$J$389</f>
        <v>2</v>
      </c>
      <c r="G485" s="332">
        <f t="shared" si="130"/>
        <v>0</v>
      </c>
      <c r="H485" s="333"/>
      <c r="I485" s="333"/>
      <c r="J485" s="331">
        <f>I391</f>
        <v>69448.33</v>
      </c>
      <c r="K485" s="331">
        <f>$J$391</f>
        <v>54354.869999999995</v>
      </c>
      <c r="L485" s="335">
        <f>K485-J485</f>
        <v>-15093.460000000006</v>
      </c>
    </row>
    <row r="486" spans="2:12" ht="15" customHeight="1" x14ac:dyDescent="0.2">
      <c r="B486" s="336" t="str">
        <f t="shared" si="129"/>
        <v>Street Lighting</v>
      </c>
      <c r="C486" s="337"/>
      <c r="D486" s="338"/>
      <c r="E486" s="331">
        <f>I398</f>
        <v>5574</v>
      </c>
      <c r="F486" s="331">
        <f>$J$398</f>
        <v>5419</v>
      </c>
      <c r="G486" s="332">
        <f t="shared" si="130"/>
        <v>-155</v>
      </c>
      <c r="H486" s="333"/>
      <c r="I486" s="333"/>
      <c r="J486" s="331">
        <f>I400</f>
        <v>6559.4</v>
      </c>
      <c r="K486" s="331">
        <f>$J$400</f>
        <v>5677.1200000000008</v>
      </c>
      <c r="L486" s="335">
        <f>K486-J486</f>
        <v>-882.27999999999884</v>
      </c>
    </row>
    <row r="487" spans="2:12" ht="15" customHeight="1" x14ac:dyDescent="0.2">
      <c r="B487" s="336" t="str">
        <f t="shared" si="129"/>
        <v>Sentinel Lighting</v>
      </c>
      <c r="C487" s="337"/>
      <c r="D487" s="338"/>
      <c r="E487" s="331">
        <f>I407</f>
        <v>427</v>
      </c>
      <c r="F487" s="331">
        <f>$J$407</f>
        <v>427</v>
      </c>
      <c r="G487" s="332">
        <f t="shared" si="130"/>
        <v>0</v>
      </c>
      <c r="H487" s="333"/>
      <c r="I487" s="333"/>
      <c r="J487" s="331">
        <f>I409</f>
        <v>1224.070000000002</v>
      </c>
      <c r="K487" s="331">
        <f>$J$409</f>
        <v>1178.6100000000022</v>
      </c>
      <c r="L487" s="335">
        <f>K487-J487</f>
        <v>-45.459999999999809</v>
      </c>
    </row>
    <row r="488" spans="2:12" ht="15" customHeight="1" x14ac:dyDescent="0.2">
      <c r="B488" s="336" t="str">
        <f t="shared" si="129"/>
        <v xml:space="preserve">Unmetered Scattered Load </v>
      </c>
      <c r="C488" s="337"/>
      <c r="D488" s="338"/>
      <c r="E488" s="331">
        <f>I416</f>
        <v>15</v>
      </c>
      <c r="F488" s="331">
        <f>$J$416</f>
        <v>11</v>
      </c>
      <c r="G488" s="332">
        <f t="shared" si="130"/>
        <v>-4</v>
      </c>
      <c r="H488" s="333">
        <f>I417</f>
        <v>89084.169999999984</v>
      </c>
      <c r="I488" s="333">
        <f>$J$417</f>
        <v>50609.549999999988</v>
      </c>
      <c r="J488" s="331"/>
      <c r="K488" s="334"/>
      <c r="L488" s="335">
        <f>I488-H488</f>
        <v>-38474.619999999995</v>
      </c>
    </row>
    <row r="489" spans="2:12" ht="15" customHeight="1" x14ac:dyDescent="0.2">
      <c r="B489" s="336" t="s">
        <v>18</v>
      </c>
      <c r="C489" s="337"/>
      <c r="D489" s="338"/>
      <c r="E489" s="331">
        <f>SUM(E482:E488)</f>
        <v>30030</v>
      </c>
      <c r="F489" s="331">
        <f>SUM(F482:F488)</f>
        <v>29885</v>
      </c>
      <c r="G489" s="332">
        <f t="shared" ref="G489" si="131">SUM(G482:G488)</f>
        <v>-145</v>
      </c>
      <c r="H489" s="333">
        <f>I477</f>
        <v>293015054.14000076</v>
      </c>
      <c r="I489" s="333">
        <f t="shared" ref="I489:K489" si="132">SUM(I482:I488)</f>
        <v>291369743.98000127</v>
      </c>
      <c r="J489" s="333">
        <f t="shared" si="132"/>
        <v>612544.31999999972</v>
      </c>
      <c r="K489" s="333">
        <f t="shared" si="132"/>
        <v>594588.65</v>
      </c>
      <c r="L489" s="335"/>
    </row>
    <row r="491" spans="2:12" ht="15" customHeight="1" x14ac:dyDescent="0.2">
      <c r="B491" s="393" t="s">
        <v>303</v>
      </c>
      <c r="C491" s="393"/>
      <c r="D491" s="393"/>
      <c r="E491" s="393"/>
      <c r="F491" s="393"/>
      <c r="G491" s="393"/>
      <c r="H491" s="393"/>
      <c r="I491" s="393"/>
      <c r="J491" s="393"/>
      <c r="K491" s="393"/>
      <c r="L491" s="393"/>
    </row>
    <row r="492" spans="2:12" ht="15" customHeight="1" x14ac:dyDescent="0.2">
      <c r="B492" s="394"/>
      <c r="C492" s="395"/>
      <c r="D492" s="396"/>
      <c r="E492" s="394" t="s">
        <v>291</v>
      </c>
      <c r="F492" s="395"/>
      <c r="G492" s="396"/>
      <c r="H492" s="397" t="s">
        <v>174</v>
      </c>
      <c r="I492" s="397"/>
      <c r="J492" s="397" t="s">
        <v>292</v>
      </c>
      <c r="K492" s="397"/>
      <c r="L492" s="370"/>
    </row>
    <row r="493" spans="2:12" ht="22.5" x14ac:dyDescent="0.2">
      <c r="B493" s="390" t="s">
        <v>295</v>
      </c>
      <c r="C493" s="391"/>
      <c r="D493" s="392"/>
      <c r="E493" s="330" t="s">
        <v>301</v>
      </c>
      <c r="F493" s="330" t="s">
        <v>304</v>
      </c>
      <c r="G493" s="330" t="s">
        <v>42</v>
      </c>
      <c r="H493" s="329" t="str">
        <f>E493</f>
        <v>2014 Bridge</v>
      </c>
      <c r="I493" s="330" t="str">
        <f>F493</f>
        <v>2015 Test</v>
      </c>
      <c r="J493" s="329" t="str">
        <f>E493</f>
        <v>2014 Bridge</v>
      </c>
      <c r="K493" s="330" t="str">
        <f>F493</f>
        <v>2015 Test</v>
      </c>
      <c r="L493" s="329" t="s">
        <v>293</v>
      </c>
    </row>
    <row r="494" spans="2:12" ht="15" customHeight="1" x14ac:dyDescent="0.2">
      <c r="B494" s="336" t="str">
        <f>B482</f>
        <v xml:space="preserve">Residential </v>
      </c>
      <c r="C494" s="337"/>
      <c r="D494" s="338"/>
      <c r="E494" s="331">
        <f>J366</f>
        <v>21117</v>
      </c>
      <c r="F494" s="331">
        <f>K366</f>
        <v>21124</v>
      </c>
      <c r="G494" s="332">
        <f>F494-E494</f>
        <v>7</v>
      </c>
      <c r="H494" s="333">
        <f>J367</f>
        <v>205950079.75000036</v>
      </c>
      <c r="I494" s="333">
        <f>K367</f>
        <v>206919586.43430305</v>
      </c>
      <c r="J494" s="331"/>
      <c r="K494" s="334"/>
      <c r="L494" s="335">
        <f>I494-H494</f>
        <v>969506.68430268764</v>
      </c>
    </row>
    <row r="495" spans="2:12" ht="15" customHeight="1" x14ac:dyDescent="0.2">
      <c r="B495" s="336" t="str">
        <f t="shared" ref="B495:B500" si="133">B483</f>
        <v>General Service &lt; 50 kW</v>
      </c>
      <c r="C495" s="337"/>
      <c r="D495" s="338"/>
      <c r="E495" s="331">
        <f>J373</f>
        <v>2657</v>
      </c>
      <c r="F495" s="331">
        <f>K373</f>
        <v>2668</v>
      </c>
      <c r="G495" s="332">
        <f t="shared" ref="G495:G500" si="134">F495-E495</f>
        <v>11</v>
      </c>
      <c r="H495" s="333">
        <f>J374</f>
        <v>85369054.680000916</v>
      </c>
      <c r="I495" s="333">
        <f>K374</f>
        <v>85952587.08812359</v>
      </c>
      <c r="J495" s="331"/>
      <c r="K495" s="334"/>
      <c r="L495" s="335">
        <f>I495-H495</f>
        <v>583532.40812267363</v>
      </c>
    </row>
    <row r="496" spans="2:12" ht="15" customHeight="1" x14ac:dyDescent="0.2">
      <c r="B496" s="336" t="str">
        <f t="shared" si="133"/>
        <v>General Service 50 to 2999 kW</v>
      </c>
      <c r="C496" s="337"/>
      <c r="D496" s="338"/>
      <c r="E496" s="331">
        <f>J380</f>
        <v>252</v>
      </c>
      <c r="F496" s="331">
        <f>K380</f>
        <v>247</v>
      </c>
      <c r="G496" s="332">
        <f t="shared" si="134"/>
        <v>-5</v>
      </c>
      <c r="H496" s="333"/>
      <c r="I496" s="333"/>
      <c r="J496" s="331">
        <f>J382</f>
        <v>533378.05000000005</v>
      </c>
      <c r="K496" s="331">
        <f>K382</f>
        <v>515630.40702892555</v>
      </c>
      <c r="L496" s="335">
        <f>K496-J496</f>
        <v>-17747.6429710745</v>
      </c>
    </row>
    <row r="497" spans="2:12" ht="15" customHeight="1" x14ac:dyDescent="0.2">
      <c r="B497" s="336" t="str">
        <f t="shared" si="133"/>
        <v>General Service 3000 to 4999 kW</v>
      </c>
      <c r="C497" s="337"/>
      <c r="D497" s="338"/>
      <c r="E497" s="331">
        <f>J389</f>
        <v>2</v>
      </c>
      <c r="F497" s="331">
        <f>K389</f>
        <v>1</v>
      </c>
      <c r="G497" s="332">
        <f t="shared" si="134"/>
        <v>-1</v>
      </c>
      <c r="H497" s="333"/>
      <c r="I497" s="333"/>
      <c r="J497" s="331">
        <f>J391</f>
        <v>54354.869999999995</v>
      </c>
      <c r="K497" s="331">
        <f>K391</f>
        <v>33801.425697666316</v>
      </c>
      <c r="L497" s="335">
        <f>K497-J497</f>
        <v>-20553.444302333679</v>
      </c>
    </row>
    <row r="498" spans="2:12" ht="15" customHeight="1" x14ac:dyDescent="0.2">
      <c r="B498" s="336" t="str">
        <f t="shared" si="133"/>
        <v>Street Lighting</v>
      </c>
      <c r="C498" s="337"/>
      <c r="D498" s="338"/>
      <c r="E498" s="331">
        <f>J398</f>
        <v>5419</v>
      </c>
      <c r="F498" s="331">
        <f>K398</f>
        <v>5419</v>
      </c>
      <c r="G498" s="332">
        <f t="shared" si="134"/>
        <v>0</v>
      </c>
      <c r="H498" s="333"/>
      <c r="I498" s="333"/>
      <c r="J498" s="331">
        <f>J400</f>
        <v>5677.1200000000008</v>
      </c>
      <c r="K498" s="331">
        <f>K400</f>
        <v>5641.08</v>
      </c>
      <c r="L498" s="335">
        <f>K498-J498</f>
        <v>-36.040000000000873</v>
      </c>
    </row>
    <row r="499" spans="2:12" ht="15" customHeight="1" x14ac:dyDescent="0.2">
      <c r="B499" s="336" t="str">
        <f t="shared" si="133"/>
        <v>Sentinel Lighting</v>
      </c>
      <c r="C499" s="337"/>
      <c r="D499" s="338"/>
      <c r="E499" s="331">
        <f>J407</f>
        <v>427</v>
      </c>
      <c r="F499" s="331">
        <f>K407</f>
        <v>412</v>
      </c>
      <c r="G499" s="332">
        <f t="shared" si="134"/>
        <v>-15</v>
      </c>
      <c r="H499" s="333"/>
      <c r="I499" s="333"/>
      <c r="J499" s="331">
        <f>J409</f>
        <v>1178.6100000000022</v>
      </c>
      <c r="K499" s="331">
        <f>K409</f>
        <v>1193.4344347067597</v>
      </c>
      <c r="L499" s="335">
        <f>K499-J499</f>
        <v>14.824434706757529</v>
      </c>
    </row>
    <row r="500" spans="2:12" ht="15" customHeight="1" x14ac:dyDescent="0.2">
      <c r="B500" s="336" t="str">
        <f t="shared" si="133"/>
        <v xml:space="preserve">Unmetered Scattered Load </v>
      </c>
      <c r="C500" s="337"/>
      <c r="D500" s="338"/>
      <c r="E500" s="331">
        <f>J416</f>
        <v>11</v>
      </c>
      <c r="F500" s="331">
        <f>K416</f>
        <v>7</v>
      </c>
      <c r="G500" s="332">
        <f t="shared" si="134"/>
        <v>-4</v>
      </c>
      <c r="H500" s="333">
        <f>J417</f>
        <v>50609.549999999988</v>
      </c>
      <c r="I500" s="333">
        <f>K417</f>
        <v>32044.660431652101</v>
      </c>
      <c r="J500" s="331"/>
      <c r="K500" s="334"/>
      <c r="L500" s="335">
        <f>I500-H500</f>
        <v>-18564.889568347888</v>
      </c>
    </row>
    <row r="501" spans="2:12" ht="15" customHeight="1" x14ac:dyDescent="0.2">
      <c r="B501" s="336" t="s">
        <v>18</v>
      </c>
      <c r="C501" s="337"/>
      <c r="D501" s="338"/>
      <c r="E501" s="331">
        <f>SUM(E494:E500)</f>
        <v>29885</v>
      </c>
      <c r="F501" s="331">
        <f>SUM(F494:F500)</f>
        <v>29878</v>
      </c>
      <c r="G501" s="332">
        <f t="shared" ref="G501" si="135">SUM(G494:G500)</f>
        <v>-7</v>
      </c>
      <c r="H501" s="333">
        <f>I489</f>
        <v>291369743.98000127</v>
      </c>
      <c r="I501" s="333">
        <f t="shared" ref="I501:K501" si="136">SUM(I494:I500)</f>
        <v>292904218.18285823</v>
      </c>
      <c r="J501" s="333">
        <f t="shared" si="136"/>
        <v>594588.65</v>
      </c>
      <c r="K501" s="333">
        <f t="shared" si="136"/>
        <v>556266.34716129862</v>
      </c>
      <c r="L501" s="335"/>
    </row>
  </sheetData>
  <mergeCells count="93">
    <mergeCell ref="O258:U258"/>
    <mergeCell ref="O259:U259"/>
    <mergeCell ref="O266:U266"/>
    <mergeCell ref="B246:D246"/>
    <mergeCell ref="B296:D296"/>
    <mergeCell ref="O280:P280"/>
    <mergeCell ref="O274:P274"/>
    <mergeCell ref="A284:D284"/>
    <mergeCell ref="O260:P260"/>
    <mergeCell ref="O265:P265"/>
    <mergeCell ref="O271:P271"/>
    <mergeCell ref="B298:D298"/>
    <mergeCell ref="B300:D300"/>
    <mergeCell ref="B302:D302"/>
    <mergeCell ref="A285:D285"/>
    <mergeCell ref="A286:D286"/>
    <mergeCell ref="B200:D200"/>
    <mergeCell ref="B22:D22"/>
    <mergeCell ref="B23:D23"/>
    <mergeCell ref="B24:D24"/>
    <mergeCell ref="B18:D18"/>
    <mergeCell ref="B19:D19"/>
    <mergeCell ref="B20:D20"/>
    <mergeCell ref="B21:D21"/>
    <mergeCell ref="B198:D198"/>
    <mergeCell ref="B25:D25"/>
    <mergeCell ref="B49:D49"/>
    <mergeCell ref="B48:D48"/>
    <mergeCell ref="B153:E153"/>
    <mergeCell ref="B360:E360"/>
    <mergeCell ref="B350:E350"/>
    <mergeCell ref="B365:K365"/>
    <mergeCell ref="B379:K379"/>
    <mergeCell ref="B383:K383"/>
    <mergeCell ref="B359:E359"/>
    <mergeCell ref="B351:E351"/>
    <mergeCell ref="B352:E352"/>
    <mergeCell ref="B353:E353"/>
    <mergeCell ref="B357:E357"/>
    <mergeCell ref="B358:E358"/>
    <mergeCell ref="B387:K387"/>
    <mergeCell ref="B388:K388"/>
    <mergeCell ref="B368:K368"/>
    <mergeCell ref="B371:K371"/>
    <mergeCell ref="B372:K372"/>
    <mergeCell ref="B375:K375"/>
    <mergeCell ref="B378:K378"/>
    <mergeCell ref="B392:K392"/>
    <mergeCell ref="B396:K396"/>
    <mergeCell ref="B397:K397"/>
    <mergeCell ref="B401:K401"/>
    <mergeCell ref="B405:K405"/>
    <mergeCell ref="B410:K410"/>
    <mergeCell ref="B414:K414"/>
    <mergeCell ref="B418:K418"/>
    <mergeCell ref="B421:K421"/>
    <mergeCell ref="B426:K426"/>
    <mergeCell ref="B432:D432"/>
    <mergeCell ref="B433:D433"/>
    <mergeCell ref="B431:L431"/>
    <mergeCell ref="E432:G432"/>
    <mergeCell ref="H432:I432"/>
    <mergeCell ref="J432:K432"/>
    <mergeCell ref="B443:L443"/>
    <mergeCell ref="B444:D444"/>
    <mergeCell ref="E444:G444"/>
    <mergeCell ref="H444:I444"/>
    <mergeCell ref="J444:K444"/>
    <mergeCell ref="B445:D445"/>
    <mergeCell ref="B455:L455"/>
    <mergeCell ref="B456:D456"/>
    <mergeCell ref="E456:G456"/>
    <mergeCell ref="H456:I456"/>
    <mergeCell ref="J456:K456"/>
    <mergeCell ref="B457:D457"/>
    <mergeCell ref="B467:L467"/>
    <mergeCell ref="B468:D468"/>
    <mergeCell ref="E468:G468"/>
    <mergeCell ref="H468:I468"/>
    <mergeCell ref="J468:K468"/>
    <mergeCell ref="B469:D469"/>
    <mergeCell ref="B479:L479"/>
    <mergeCell ref="B480:D480"/>
    <mergeCell ref="E480:G480"/>
    <mergeCell ref="H480:I480"/>
    <mergeCell ref="J480:K480"/>
    <mergeCell ref="B493:D493"/>
    <mergeCell ref="B481:D481"/>
    <mergeCell ref="B491:L491"/>
    <mergeCell ref="B492:D492"/>
    <mergeCell ref="E492:G492"/>
    <mergeCell ref="H492:I492"/>
    <mergeCell ref="J492:K492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zoomScale="80" zoomScaleNormal="80" workbookViewId="0">
      <pane xSplit="1" ySplit="3" topLeftCell="J49" activePane="bottomRight" state="frozen"/>
      <selection activeCell="AB30" sqref="AB30"/>
      <selection pane="topRight" activeCell="AB30" sqref="AB30"/>
      <selection pane="bottomLeft" activeCell="AB30" sqref="AB30"/>
      <selection pane="bottomRight" activeCell="R53" sqref="R53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2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317</v>
      </c>
      <c r="B1" s="50"/>
      <c r="R1" s="204"/>
      <c r="S1" s="13"/>
    </row>
    <row r="2" spans="1:19" x14ac:dyDescent="0.2">
      <c r="O2" s="182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169</v>
      </c>
      <c r="P3" s="167" t="s">
        <v>180</v>
      </c>
      <c r="Q3" s="167" t="s">
        <v>331</v>
      </c>
      <c r="R3" s="193" t="s">
        <v>170</v>
      </c>
    </row>
    <row r="4" spans="1:19" x14ac:dyDescent="0.2">
      <c r="A4" s="13" t="s">
        <v>61</v>
      </c>
      <c r="B4" s="23">
        <f>+'Purchased Power Model'!B212</f>
        <v>586785297.19999993</v>
      </c>
      <c r="C4" s="23">
        <f>'Purchased Power Model'!B213</f>
        <v>590756479.69999993</v>
      </c>
      <c r="D4" s="23">
        <f>'Purchased Power Model'!B214</f>
        <v>587842839.79999995</v>
      </c>
      <c r="E4" s="6">
        <f>'Purchased Power Model'!B215</f>
        <v>593838876.10000002</v>
      </c>
      <c r="F4" s="23">
        <f>'Purchased Power Model'!B216</f>
        <v>594630408</v>
      </c>
      <c r="G4" s="23">
        <f>'Purchased Power Model'!B217</f>
        <v>601756740</v>
      </c>
      <c r="H4" s="23">
        <f>'Purchased Power Model'!B218</f>
        <v>606363661</v>
      </c>
      <c r="I4" s="23">
        <f>'Purchased Power Model'!B219</f>
        <v>585762798</v>
      </c>
      <c r="J4" s="23">
        <f>'Purchased Power Model'!B220</f>
        <v>598640314</v>
      </c>
      <c r="K4" s="23">
        <f>'Purchased Power Model'!B221</f>
        <v>594903991</v>
      </c>
      <c r="L4" s="23">
        <f>+'Purchased Power Model'!B222</f>
        <v>580320683.07692301</v>
      </c>
      <c r="M4" s="23">
        <f>+'Purchased Power Model'!B223</f>
        <v>592105953.84615386</v>
      </c>
      <c r="N4" s="175">
        <f>'Purchased Power Model'!B224</f>
        <v>593738607.69230771</v>
      </c>
      <c r="O4" s="175">
        <f>'Purchased Power Model'!B225</f>
        <v>572612692.67601395</v>
      </c>
      <c r="P4" s="175">
        <f>'Purchased Power Model'!B226</f>
        <v>573172084.77666664</v>
      </c>
      <c r="Q4" s="194"/>
      <c r="R4" s="194"/>
    </row>
    <row r="5" spans="1:19" x14ac:dyDescent="0.2">
      <c r="A5" s="13" t="s">
        <v>62</v>
      </c>
      <c r="B5" s="23">
        <f>+'Purchased Power Model'!J212</f>
        <v>586985728.21796286</v>
      </c>
      <c r="C5" s="23">
        <f>'Purchased Power Model'!J213</f>
        <v>589375854.57640064</v>
      </c>
      <c r="D5" s="23">
        <f>'Purchased Power Model'!J214</f>
        <v>586625929.16793203</v>
      </c>
      <c r="E5" s="23">
        <f>'Purchased Power Model'!J215</f>
        <v>598006237.51023877</v>
      </c>
      <c r="F5" s="23">
        <f>'Purchased Power Model'!J216</f>
        <v>594807571.51405835</v>
      </c>
      <c r="G5" s="23">
        <f>'Purchased Power Model'!J217</f>
        <v>598114414.14720607</v>
      </c>
      <c r="H5" s="23">
        <f>'Purchased Power Model'!J218</f>
        <v>602326294.25683236</v>
      </c>
      <c r="I5" s="23">
        <f>'Purchased Power Model'!J219</f>
        <v>585663679.63589358</v>
      </c>
      <c r="J5" s="23">
        <f>'Purchased Power Model'!J220</f>
        <v>599930778.40315473</v>
      </c>
      <c r="K5" s="23">
        <f>'Purchased Power Model'!J221</f>
        <v>595332146.99348593</v>
      </c>
      <c r="L5" s="23">
        <f>+'Purchased Power Model'!J222</f>
        <v>590099156.50196898</v>
      </c>
      <c r="M5" s="23">
        <f>+'Purchased Power Model'!J223</f>
        <v>586298736.03698146</v>
      </c>
      <c r="N5" s="175">
        <f>'Purchased Power Model'!J224</f>
        <v>593880122.45326924</v>
      </c>
      <c r="O5" s="175">
        <f>'Purchased Power Model'!J225</f>
        <v>561745318.85782051</v>
      </c>
      <c r="P5" s="21">
        <f>'Purchased Power Model'!J226</f>
        <v>571754144.49538946</v>
      </c>
      <c r="Q5" s="195">
        <f>'Rate Class Energy Model'!C22</f>
        <v>573475045.82229114</v>
      </c>
      <c r="R5" s="195">
        <f>'Rate Class Energy Model'!C23</f>
        <v>570295995.86402392</v>
      </c>
      <c r="S5" s="63"/>
    </row>
    <row r="6" spans="1:19" x14ac:dyDescent="0.2">
      <c r="A6" s="13" t="s">
        <v>11</v>
      </c>
      <c r="B6" s="39">
        <f t="shared" ref="B6:K6" si="0">(B5-B4)/B4</f>
        <v>3.4157471040829039E-4</v>
      </c>
      <c r="C6" s="39">
        <f t="shared" si="0"/>
        <v>-2.3370460943575345E-3</v>
      </c>
      <c r="D6" s="39">
        <f t="shared" si="0"/>
        <v>-2.0701292074629075E-3</v>
      </c>
      <c r="E6" s="39">
        <f t="shared" si="0"/>
        <v>7.0176635076632746E-3</v>
      </c>
      <c r="F6" s="39">
        <f t="shared" si="0"/>
        <v>2.9793887375223423E-4</v>
      </c>
      <c r="G6" s="39">
        <f t="shared" si="0"/>
        <v>-6.0528210332865271E-3</v>
      </c>
      <c r="H6" s="39">
        <f t="shared" si="0"/>
        <v>-6.6583256927193052E-3</v>
      </c>
      <c r="I6" s="39">
        <f t="shared" si="0"/>
        <v>-1.6921246013717776E-4</v>
      </c>
      <c r="J6" s="39">
        <f t="shared" si="0"/>
        <v>2.1556590376149154E-3</v>
      </c>
      <c r="K6" s="39">
        <f t="shared" si="0"/>
        <v>7.1970603654250424E-4</v>
      </c>
      <c r="L6" s="39">
        <f>(L5-L4)/L4</f>
        <v>1.6850120476836088E-2</v>
      </c>
      <c r="M6" s="39">
        <f>(M5-M4)/M4</f>
        <v>-9.8077341925889069E-3</v>
      </c>
      <c r="N6" s="176">
        <f>(N5-N4)/N4</f>
        <v>2.3834522318088767E-4</v>
      </c>
      <c r="O6" s="176">
        <f>(O5-O4)/O4</f>
        <v>-1.8978576544306937E-2</v>
      </c>
      <c r="P6" s="176">
        <f>(P5-P4)/P4</f>
        <v>-2.4738474167486234E-3</v>
      </c>
      <c r="Q6" s="195"/>
      <c r="R6" s="195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5"/>
      <c r="R7" s="195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5"/>
      <c r="R8" s="195">
        <f>R14*'Rate Class Energy Model'!$F$26</f>
        <v>8458653.78970767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5"/>
      <c r="R9" s="195">
        <f>R15*'Rate Class Energy Model'!$F$26</f>
        <v>18019538.910121869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5"/>
      <c r="R10" s="195">
        <f>+R5-R8-R9</f>
        <v>543817803.16419435</v>
      </c>
      <c r="S10" s="66"/>
    </row>
    <row r="11" spans="1:19" x14ac:dyDescent="0.2">
      <c r="A11" s="13" t="s">
        <v>232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6"/>
      <c r="R11" s="196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5">
        <f>+'Rate Class Energy Model'!G22</f>
        <v>537983045.77000117</v>
      </c>
      <c r="R12" s="195">
        <f>+'Rate Class Energy Model'!G23</f>
        <v>546093286.67639852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5"/>
      <c r="R13" s="195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7"/>
      <c r="R14" s="197">
        <f>'Rate Class Energy Model'!O82</f>
        <v>8099678.2063688152</v>
      </c>
      <c r="S14" s="63"/>
    </row>
    <row r="15" spans="1:19" x14ac:dyDescent="0.2">
      <c r="A15" s="13" t="s">
        <v>232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7"/>
      <c r="R15" s="197">
        <f>-'Rate Class Energy Model'!K85</f>
        <v>17254810.307607245</v>
      </c>
      <c r="S15" s="63"/>
    </row>
    <row r="16" spans="1:19" s="275" customFormat="1" x14ac:dyDescent="0.2">
      <c r="A16" s="275" t="s">
        <v>83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2"/>
      <c r="M16" s="373"/>
      <c r="N16" s="373"/>
      <c r="O16" s="373"/>
      <c r="P16" s="373"/>
      <c r="Q16" s="197"/>
      <c r="R16" s="197">
        <f>+R12-R14-R15</f>
        <v>520738798.16242248</v>
      </c>
      <c r="S16" s="373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6"/>
      <c r="R17" s="196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6"/>
      <c r="P18" s="244"/>
      <c r="Q18" s="198"/>
      <c r="R18" s="198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199"/>
      <c r="R19" s="199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7">
        <f>'Rate Class Customer Model'!B18</f>
        <v>21117</v>
      </c>
      <c r="R20" s="197">
        <f>'Rate Class Customer Model'!B19</f>
        <v>21124</v>
      </c>
      <c r="S20" s="138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7">
        <f>'Rate Class Energy Model'!H22</f>
        <v>205950079.75000036</v>
      </c>
      <c r="R21" s="197">
        <f>'Rate Class Energy Model'!H74</f>
        <v>206919586.43430305</v>
      </c>
      <c r="S21" s="138"/>
      <c r="T21" s="63"/>
    </row>
    <row r="22" spans="1:24" x14ac:dyDescent="0.2">
      <c r="B22" s="1"/>
      <c r="L22" s="28"/>
      <c r="M22" s="28"/>
      <c r="N22" s="52"/>
      <c r="O22" s="28"/>
      <c r="P22" s="26"/>
      <c r="Q22" s="203"/>
      <c r="R22" s="203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3"/>
      <c r="R23" s="203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7">
        <f>'Rate Class Customer Model'!C18</f>
        <v>2657</v>
      </c>
      <c r="R24" s="197">
        <f>'Rate Class Customer Model'!C19</f>
        <v>2668</v>
      </c>
      <c r="S24" s="138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7">
        <f>'Rate Class Energy Model'!I22</f>
        <v>85369054.680000916</v>
      </c>
      <c r="R25" s="197">
        <f>'Rate Class Energy Model'!I74</f>
        <v>85952587.08812359</v>
      </c>
      <c r="S25" s="138"/>
      <c r="T25" s="63"/>
    </row>
    <row r="26" spans="1:24" x14ac:dyDescent="0.2">
      <c r="B26" s="1"/>
      <c r="L26" s="28"/>
      <c r="M26" s="28"/>
      <c r="N26" s="28"/>
      <c r="O26" s="28"/>
      <c r="P26" s="26"/>
      <c r="Q26" s="203"/>
      <c r="R26" s="203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3"/>
      <c r="R27" s="203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7">
        <f>'Rate Class Customer Model'!D18</f>
        <v>252</v>
      </c>
      <c r="R28" s="197">
        <f>'Rate Class Customer Model'!D19</f>
        <v>247</v>
      </c>
      <c r="S28" s="138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7">
        <f>'Rate Class Energy Model'!J22</f>
        <v>217236187.44</v>
      </c>
      <c r="R29" s="197">
        <f>'Rate Class Energy Model'!J74</f>
        <v>208155048.04770923</v>
      </c>
      <c r="S29" s="138"/>
      <c r="T29" s="63"/>
      <c r="V29" s="207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7">
        <f>+'Rate Class Load Model'!B17</f>
        <v>533378.05000000005</v>
      </c>
      <c r="R30" s="197">
        <f>+'Rate Class Load Model'!B18</f>
        <v>515630.40702892555</v>
      </c>
      <c r="S30" s="138"/>
      <c r="T30" s="184"/>
      <c r="V30" s="207"/>
    </row>
    <row r="31" spans="1:24" x14ac:dyDescent="0.2">
      <c r="B31" s="1"/>
      <c r="L31" s="28"/>
      <c r="M31" s="28"/>
      <c r="N31" s="28"/>
      <c r="O31" s="28"/>
      <c r="P31" s="26"/>
      <c r="Q31" s="203"/>
      <c r="R31" s="203"/>
      <c r="S31" s="185"/>
      <c r="T31" s="185"/>
      <c r="V31" s="207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3"/>
      <c r="R32" s="203"/>
      <c r="S32" s="185"/>
      <c r="T32" s="185"/>
      <c r="V32" s="207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7">
        <f>'Rate Class Customer Model'!E18</f>
        <v>2</v>
      </c>
      <c r="R33" s="197">
        <f>'Rate Class Customer Model'!E19+'Rate Class Energy Model'!K87</f>
        <v>1</v>
      </c>
      <c r="S33" s="138"/>
      <c r="T33" s="185"/>
      <c r="V33" s="207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7">
        <f>'Rate Class Energy Model'!K22</f>
        <v>26926555.820000004</v>
      </c>
      <c r="R34" s="197">
        <f>'Rate Class Energy Model'!K74</f>
        <v>17254810.307607245</v>
      </c>
      <c r="S34" s="138"/>
      <c r="T34" s="63"/>
      <c r="V34" s="207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7">
        <f>'Rate Class Load Model'!C17</f>
        <v>54354.869999999995</v>
      </c>
      <c r="R35" s="197">
        <f>'Rate Class Load Model'!C18</f>
        <v>33801.425697666316</v>
      </c>
      <c r="S35" s="138"/>
      <c r="T35" s="184"/>
      <c r="V35" s="207"/>
    </row>
    <row r="36" spans="1:24" x14ac:dyDescent="0.2">
      <c r="B36" s="1"/>
      <c r="L36" s="28"/>
      <c r="M36" s="28"/>
      <c r="N36" s="28"/>
      <c r="O36" s="28"/>
      <c r="P36" s="26"/>
      <c r="Q36" s="203"/>
      <c r="R36" s="203"/>
      <c r="S36" s="63"/>
      <c r="T36" s="63"/>
      <c r="V36" s="207"/>
    </row>
    <row r="37" spans="1:24" s="25" customFormat="1" x14ac:dyDescent="0.2">
      <c r="A37" s="181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3"/>
      <c r="R37" s="203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7">
        <f>'Rate Class Customer Model'!F18</f>
        <v>5419</v>
      </c>
      <c r="R38" s="197">
        <f>'Rate Class Customer Model'!F19</f>
        <v>5419</v>
      </c>
      <c r="S38" s="138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7">
        <f>'Rate Class Energy Model'!L22</f>
        <v>2026565.8900000001</v>
      </c>
      <c r="R39" s="197">
        <f>+'Rate Class Energy Model'!L74</f>
        <v>2018762.3305114082</v>
      </c>
      <c r="S39" s="138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7">
        <f>+'Rate Class Load Model'!D17</f>
        <v>5677.1200000000008</v>
      </c>
      <c r="R40" s="197">
        <f>+'Rate Class Load Model'!D18</f>
        <v>5641.08</v>
      </c>
      <c r="S40" s="138"/>
      <c r="T40" s="184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3"/>
      <c r="R41" s="203"/>
      <c r="S41" s="169"/>
      <c r="T41" s="169"/>
    </row>
    <row r="42" spans="1:24" s="25" customFormat="1" x14ac:dyDescent="0.2">
      <c r="A42" s="181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3"/>
      <c r="R42" s="203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7">
        <f>'Rate Class Customer Model'!G18</f>
        <v>427</v>
      </c>
      <c r="R43" s="197">
        <f>'Rate Class Customer Model'!G19</f>
        <v>412</v>
      </c>
      <c r="S43" s="138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3">
        <f>'Rate Class Energy Model'!M22</f>
        <v>423992.64000000048</v>
      </c>
      <c r="R44" s="203">
        <f>+'Rate Class Energy Model'!M74</f>
        <v>405959.29373617272</v>
      </c>
      <c r="S44" s="138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7">
        <f>+'Rate Class Load Model'!E17</f>
        <v>1178.6100000000022</v>
      </c>
      <c r="R45" s="197">
        <f>+'Rate Class Load Model'!E18</f>
        <v>1193.4344347067597</v>
      </c>
      <c r="S45" s="138"/>
      <c r="T45" s="184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3"/>
      <c r="R46" s="203"/>
      <c r="S46" s="169"/>
      <c r="T46" s="169"/>
    </row>
    <row r="47" spans="1:24" s="25" customFormat="1" x14ac:dyDescent="0.2">
      <c r="A47" s="181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3"/>
      <c r="R47" s="203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7">
        <f>'Rate Class Customer Model'!H18</f>
        <v>11</v>
      </c>
      <c r="R48" s="197">
        <f>'Rate Class Customer Model'!H19</f>
        <v>7</v>
      </c>
      <c r="S48" s="13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7">
        <f>'Rate Class Energy Model'!N22</f>
        <v>50609.549999999988</v>
      </c>
      <c r="R49" s="197">
        <f>+'Rate Class Energy Model'!N74</f>
        <v>32044.660431652101</v>
      </c>
      <c r="S49" s="138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3"/>
      <c r="R50" s="203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3"/>
      <c r="R51" s="203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7">
        <f>Q20+Q24+Q28+Q33+Q38+Q43+Q48</f>
        <v>29885</v>
      </c>
      <c r="R52" s="197">
        <f>R20+R24+R28+R33+R38+R43+R48</f>
        <v>29878</v>
      </c>
      <c r="S52" s="138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7">
        <f>Q21+Q25+Q29+Q34+Q39+Q44+Q49</f>
        <v>537983045.77000117</v>
      </c>
      <c r="R53" s="197">
        <f>R21+R25+R29+R34+R39+R44+R49</f>
        <v>520738798.16242224</v>
      </c>
      <c r="S53" s="138"/>
      <c r="T53" s="45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7">
        <f t="shared" si="5"/>
        <v>594588.65</v>
      </c>
      <c r="R54" s="197">
        <f t="shared" si="5"/>
        <v>556266.34716129862</v>
      </c>
      <c r="S54" s="138"/>
      <c r="T54" s="386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3"/>
      <c r="R55" s="203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0">
        <f>'Rate Class Customer Model'!I18-Q52</f>
        <v>0</v>
      </c>
      <c r="R56" s="200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0">
        <f>'Rate Class Energy Model'!G22-Q53</f>
        <v>0</v>
      </c>
      <c r="R57" s="200">
        <f>'Rate Class Energy Model'!G23-R53</f>
        <v>25354488.513976276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0">
        <f>'Rate Class Load Model'!F17-Q54</f>
        <v>0</v>
      </c>
      <c r="R58" s="200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3"/>
      <c r="R59" s="203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7">
        <f>+Q20+Q24+Q28+Q33</f>
        <v>24028</v>
      </c>
      <c r="R60" s="197">
        <f>+R20+R24+R28+R33</f>
        <v>24040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5">
        <v>1</v>
      </c>
      <c r="R61" s="195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7">
        <v>263</v>
      </c>
      <c r="R62" s="197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5">
        <f>Q48</f>
        <v>11</v>
      </c>
      <c r="R63" s="195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1">
        <f>SUM(Q60:Q63)</f>
        <v>24303</v>
      </c>
      <c r="R64" s="201">
        <f>SUM(R60:R63)</f>
        <v>24311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5">
        <f t="shared" si="8"/>
        <v>10</v>
      </c>
      <c r="R65" s="195">
        <f t="shared" si="8"/>
        <v>8</v>
      </c>
    </row>
    <row r="66" spans="1:18" x14ac:dyDescent="0.2">
      <c r="M66" s="17"/>
      <c r="N66" s="17"/>
      <c r="O66" s="21"/>
      <c r="P66" s="21"/>
      <c r="Q66" s="195"/>
      <c r="R66" s="195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2"/>
      <c r="R67" s="202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2"/>
      <c r="R68" s="202"/>
    </row>
    <row r="69" spans="1:18" x14ac:dyDescent="0.2">
      <c r="M69" s="17"/>
      <c r="N69" s="17"/>
      <c r="O69" s="17"/>
      <c r="P69" s="17"/>
      <c r="Q69" s="202"/>
      <c r="R69" s="202"/>
    </row>
    <row r="70" spans="1:18" x14ac:dyDescent="0.2">
      <c r="M70" s="17"/>
      <c r="N70" s="17"/>
      <c r="O70" s="17"/>
      <c r="P70" s="17"/>
      <c r="Q70" s="202"/>
      <c r="R70" s="202"/>
    </row>
    <row r="71" spans="1:18" x14ac:dyDescent="0.2">
      <c r="M71" s="17"/>
      <c r="N71" s="17"/>
      <c r="O71" s="17"/>
      <c r="P71" s="17"/>
      <c r="Q71" s="202"/>
      <c r="R71" s="202"/>
    </row>
    <row r="72" spans="1:18" x14ac:dyDescent="0.2">
      <c r="M72" s="17"/>
      <c r="N72" s="17"/>
      <c r="O72" s="17"/>
      <c r="P72" s="17"/>
      <c r="Q72" s="202"/>
      <c r="R72" s="202"/>
    </row>
    <row r="73" spans="1:18" x14ac:dyDescent="0.2">
      <c r="M73" s="17"/>
      <c r="N73" s="17"/>
      <c r="O73" s="17"/>
      <c r="P73" s="17"/>
      <c r="Q73" s="202"/>
      <c r="R73" s="202"/>
    </row>
    <row r="74" spans="1:18" x14ac:dyDescent="0.2">
      <c r="M74" s="17"/>
      <c r="N74" s="17"/>
      <c r="O74" s="17"/>
      <c r="P74" s="17"/>
      <c r="Q74" s="202"/>
      <c r="R74" s="202"/>
    </row>
    <row r="75" spans="1:18" x14ac:dyDescent="0.2">
      <c r="M75" s="17"/>
      <c r="N75" s="17"/>
      <c r="O75" s="17"/>
      <c r="P75" s="17"/>
      <c r="Q75" s="202"/>
      <c r="R75" s="202"/>
    </row>
    <row r="76" spans="1:18" x14ac:dyDescent="0.2">
      <c r="M76" s="17"/>
      <c r="N76" s="17"/>
      <c r="O76" s="17"/>
      <c r="P76" s="17"/>
      <c r="Q76" s="202"/>
      <c r="R76" s="202"/>
    </row>
    <row r="77" spans="1:18" x14ac:dyDescent="0.2">
      <c r="M77" s="17"/>
      <c r="N77" s="17"/>
      <c r="O77" s="17"/>
      <c r="P77" s="17"/>
      <c r="Q77" s="202"/>
      <c r="R77" s="202"/>
    </row>
    <row r="78" spans="1:18" x14ac:dyDescent="0.2">
      <c r="M78" s="17"/>
      <c r="N78" s="17"/>
      <c r="O78" s="17"/>
      <c r="P78" s="17"/>
      <c r="Q78" s="202"/>
      <c r="R78" s="202"/>
    </row>
    <row r="79" spans="1:18" x14ac:dyDescent="0.2">
      <c r="M79" s="17"/>
      <c r="N79" s="17"/>
      <c r="O79" s="17"/>
      <c r="P79" s="17"/>
      <c r="Q79" s="202"/>
      <c r="R79" s="202"/>
    </row>
    <row r="80" spans="1:18" x14ac:dyDescent="0.2">
      <c r="M80" s="17"/>
      <c r="N80" s="17"/>
      <c r="O80" s="17"/>
      <c r="P80" s="17"/>
      <c r="Q80" s="202"/>
      <c r="R80" s="202"/>
    </row>
    <row r="81" spans="13:18" x14ac:dyDescent="0.2">
      <c r="M81" s="17"/>
      <c r="N81" s="17"/>
      <c r="O81" s="17"/>
      <c r="P81" s="17"/>
      <c r="Q81" s="202"/>
      <c r="R81" s="202"/>
    </row>
    <row r="82" spans="13:18" x14ac:dyDescent="0.2">
      <c r="M82" s="17"/>
      <c r="N82" s="17"/>
      <c r="O82" s="17"/>
      <c r="P82" s="17"/>
      <c r="Q82" s="202"/>
      <c r="R82" s="202"/>
    </row>
    <row r="83" spans="13:18" x14ac:dyDescent="0.2">
      <c r="M83" s="17"/>
      <c r="N83" s="17"/>
      <c r="O83" s="17"/>
      <c r="P83" s="17"/>
      <c r="Q83" s="202"/>
      <c r="R83" s="20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0"/>
  <sheetViews>
    <sheetView tabSelected="1" zoomScale="80" workbookViewId="0">
      <pane xSplit="1" ySplit="2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I2" sqref="I2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8" width="10.5703125" style="146" customWidth="1"/>
    <col min="9" max="9" width="14.42578125" style="146" customWidth="1"/>
    <col min="10" max="10" width="15.42578125" style="146" bestFit="1" customWidth="1"/>
    <col min="11" max="11" width="14.42578125" style="28" customWidth="1" outlineLevel="1"/>
    <col min="12" max="12" width="12.42578125" style="17" customWidth="1" outlineLevel="1"/>
    <col min="13" max="13" width="13" style="156" customWidth="1" outlineLevel="1"/>
    <col min="14" max="14" width="17" style="17" customWidth="1"/>
    <col min="15" max="15" width="12.42578125" style="17" customWidth="1"/>
    <col min="16" max="16" width="23.42578125" style="25" bestFit="1" customWidth="1"/>
    <col min="17" max="17" width="18" style="25" customWidth="1"/>
    <col min="18" max="18" width="20" style="25" customWidth="1"/>
    <col min="19" max="19" width="18" style="25" customWidth="1"/>
    <col min="20" max="20" width="17.140625" style="25" customWidth="1"/>
    <col min="21" max="22" width="15.7109375" style="25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250"/>
      <c r="M1" s="149"/>
    </row>
    <row r="2" spans="1:26" ht="42" customHeight="1" x14ac:dyDescent="0.2">
      <c r="B2" s="339" t="s">
        <v>0</v>
      </c>
      <c r="C2" s="340" t="s">
        <v>4</v>
      </c>
      <c r="D2" s="340" t="s">
        <v>5</v>
      </c>
      <c r="E2" s="340" t="s">
        <v>6</v>
      </c>
      <c r="F2" s="340" t="s">
        <v>20</v>
      </c>
      <c r="G2" s="340" t="s">
        <v>188</v>
      </c>
      <c r="H2" s="340" t="s">
        <v>332</v>
      </c>
      <c r="I2" s="340" t="s">
        <v>333</v>
      </c>
      <c r="J2" s="340" t="s">
        <v>13</v>
      </c>
      <c r="K2" s="134" t="s">
        <v>8</v>
      </c>
      <c r="L2" s="133" t="s">
        <v>21</v>
      </c>
      <c r="M2" s="154" t="s">
        <v>7</v>
      </c>
      <c r="N2" s="133" t="s">
        <v>14</v>
      </c>
      <c r="O2" s="133" t="s">
        <v>257</v>
      </c>
      <c r="X2" s="135"/>
      <c r="Y2" s="135"/>
      <c r="Z2" s="135"/>
    </row>
    <row r="3" spans="1:26" x14ac:dyDescent="0.2">
      <c r="A3" s="341">
        <v>36161</v>
      </c>
      <c r="B3" s="342">
        <v>63487135.799999997</v>
      </c>
      <c r="C3" s="146">
        <v>943.6</v>
      </c>
      <c r="D3" s="146">
        <v>0</v>
      </c>
      <c r="E3" s="342">
        <v>31</v>
      </c>
      <c r="F3" s="342">
        <v>0</v>
      </c>
      <c r="G3" s="342">
        <v>0</v>
      </c>
      <c r="H3" s="342">
        <v>0</v>
      </c>
      <c r="I3" s="383">
        <v>248.6</v>
      </c>
      <c r="J3" s="342">
        <f>$Q$19+C3*$Q$20+D3*$Q$21+E3*$Q$22+F3*$Q$23+G3*$Q$24+H3*$Q$25+I3*$Q$26</f>
        <v>62860063.827885695</v>
      </c>
      <c r="K3" s="28">
        <v>105.43350751374578</v>
      </c>
      <c r="L3" s="11">
        <v>53395.398799999995</v>
      </c>
      <c r="M3" s="155">
        <v>319.92</v>
      </c>
      <c r="N3" s="11">
        <f>J3-B3</f>
        <v>-627071.97211430222</v>
      </c>
      <c r="O3" s="152">
        <f>ABS(N3/B3)</f>
        <v>9.8771501377811766E-3</v>
      </c>
      <c r="P3" t="s">
        <v>22</v>
      </c>
      <c r="Q3"/>
      <c r="R3"/>
      <c r="S3"/>
      <c r="T3"/>
      <c r="U3"/>
      <c r="V3"/>
    </row>
    <row r="4" spans="1:26" ht="13.5" thickBot="1" x14ac:dyDescent="0.25">
      <c r="A4" s="341">
        <v>36192</v>
      </c>
      <c r="B4" s="342">
        <v>52841335.700000003</v>
      </c>
      <c r="C4" s="146">
        <v>690.8</v>
      </c>
      <c r="D4" s="146">
        <v>0</v>
      </c>
      <c r="E4" s="342">
        <v>28</v>
      </c>
      <c r="F4" s="342">
        <v>0</v>
      </c>
      <c r="G4" s="342">
        <v>0</v>
      </c>
      <c r="H4" s="342">
        <v>0</v>
      </c>
      <c r="I4" s="383">
        <v>248.6</v>
      </c>
      <c r="J4" s="342">
        <f t="shared" ref="J4:J67" si="0">$Q$19+C4*$Q$20+D4*$Q$21+E4*$Q$22+F4*$Q$23+G4*$Q$24+H4*$Q$25+I4*$Q$26</f>
        <v>53081871.487113133</v>
      </c>
      <c r="K4" s="28">
        <v>106.07084452911343</v>
      </c>
      <c r="L4" s="11">
        <f t="shared" ref="L4:L27" si="1">L3-26.0167</f>
        <v>53369.382099999995</v>
      </c>
      <c r="M4" s="155">
        <v>319.87200000000001</v>
      </c>
      <c r="N4" s="11">
        <f t="shared" ref="N4:N67" si="2">J4-B4</f>
        <v>240535.78711313009</v>
      </c>
      <c r="O4" s="152">
        <f t="shared" ref="O4:O67" si="3">ABS(N4/B4)</f>
        <v>4.5520383602477722E-3</v>
      </c>
      <c r="P4"/>
      <c r="Q4"/>
      <c r="R4"/>
      <c r="S4"/>
      <c r="T4"/>
      <c r="U4"/>
      <c r="V4"/>
    </row>
    <row r="5" spans="1:26" x14ac:dyDescent="0.2">
      <c r="A5" s="341">
        <v>36220</v>
      </c>
      <c r="B5" s="342">
        <v>54688698.5</v>
      </c>
      <c r="C5" s="146">
        <v>672.5</v>
      </c>
      <c r="D5" s="146">
        <v>0</v>
      </c>
      <c r="E5" s="342">
        <v>31</v>
      </c>
      <c r="F5" s="342">
        <v>1</v>
      </c>
      <c r="G5" s="342">
        <v>0</v>
      </c>
      <c r="H5" s="342">
        <v>0</v>
      </c>
      <c r="I5" s="383">
        <v>248.6</v>
      </c>
      <c r="J5" s="342">
        <f t="shared" si="0"/>
        <v>54260419.097970754</v>
      </c>
      <c r="K5" s="28">
        <v>106.71203419513016</v>
      </c>
      <c r="L5" s="11">
        <f t="shared" si="1"/>
        <v>53343.365399999995</v>
      </c>
      <c r="M5" s="155">
        <v>368.28</v>
      </c>
      <c r="N5" s="11">
        <f t="shared" si="2"/>
        <v>-428279.40202924609</v>
      </c>
      <c r="O5" s="152">
        <f t="shared" si="3"/>
        <v>7.831223155351669E-3</v>
      </c>
      <c r="P5" s="32" t="s">
        <v>23</v>
      </c>
      <c r="Q5" s="32"/>
      <c r="R5"/>
      <c r="S5"/>
      <c r="T5"/>
      <c r="U5"/>
      <c r="V5"/>
    </row>
    <row r="6" spans="1:26" x14ac:dyDescent="0.2">
      <c r="A6" s="341">
        <v>36251</v>
      </c>
      <c r="B6" s="342">
        <v>44591785</v>
      </c>
      <c r="C6" s="146">
        <v>383.7</v>
      </c>
      <c r="D6" s="146">
        <v>0</v>
      </c>
      <c r="E6" s="342">
        <v>30</v>
      </c>
      <c r="F6" s="342">
        <v>1</v>
      </c>
      <c r="G6" s="342">
        <v>0</v>
      </c>
      <c r="H6" s="342">
        <v>0</v>
      </c>
      <c r="I6" s="383">
        <v>248.6</v>
      </c>
      <c r="J6" s="342">
        <f t="shared" si="0"/>
        <v>45875630.499759138</v>
      </c>
      <c r="K6" s="28">
        <v>107.35709980075717</v>
      </c>
      <c r="L6" s="11">
        <f t="shared" si="1"/>
        <v>53317.348699999995</v>
      </c>
      <c r="M6" s="155">
        <v>336.24</v>
      </c>
      <c r="N6" s="11">
        <f t="shared" si="2"/>
        <v>1283845.4997591376</v>
      </c>
      <c r="O6" s="152">
        <f t="shared" si="3"/>
        <v>2.8791076646946016E-2</v>
      </c>
      <c r="P6" s="29" t="s">
        <v>24</v>
      </c>
      <c r="Q6" s="387">
        <v>0.98901379834520076</v>
      </c>
      <c r="R6"/>
      <c r="S6"/>
      <c r="T6"/>
      <c r="U6"/>
      <c r="V6"/>
    </row>
    <row r="7" spans="1:26" x14ac:dyDescent="0.2">
      <c r="A7" s="341">
        <v>36281</v>
      </c>
      <c r="B7" s="342">
        <v>43099943</v>
      </c>
      <c r="C7" s="146">
        <v>135.9</v>
      </c>
      <c r="D7" s="146">
        <v>16.100000000000001</v>
      </c>
      <c r="E7" s="342">
        <v>31</v>
      </c>
      <c r="F7" s="342">
        <v>1</v>
      </c>
      <c r="G7" s="342">
        <v>0</v>
      </c>
      <c r="H7" s="342">
        <v>0</v>
      </c>
      <c r="I7" s="383">
        <v>248.6</v>
      </c>
      <c r="J7" s="342">
        <f t="shared" si="0"/>
        <v>42129048.757328331</v>
      </c>
      <c r="K7" s="28">
        <v>108.00606477573555</v>
      </c>
      <c r="L7" s="11">
        <f t="shared" si="1"/>
        <v>53291.331999999995</v>
      </c>
      <c r="M7" s="155">
        <v>319.92</v>
      </c>
      <c r="N7" s="11">
        <f t="shared" si="2"/>
        <v>-970894.24267166853</v>
      </c>
      <c r="O7" s="152">
        <f t="shared" si="3"/>
        <v>2.2526578345397546E-2</v>
      </c>
      <c r="P7" s="29" t="s">
        <v>25</v>
      </c>
      <c r="Q7" s="387">
        <v>0.97814829331720132</v>
      </c>
      <c r="R7"/>
      <c r="S7"/>
      <c r="T7"/>
      <c r="U7"/>
      <c r="V7"/>
    </row>
    <row r="8" spans="1:26" x14ac:dyDescent="0.2">
      <c r="A8" s="341">
        <v>36312</v>
      </c>
      <c r="B8" s="342">
        <v>43342959.899999999</v>
      </c>
      <c r="C8" s="146">
        <v>50.6</v>
      </c>
      <c r="D8" s="146">
        <v>58.2</v>
      </c>
      <c r="E8" s="342">
        <v>30</v>
      </c>
      <c r="F8" s="342">
        <v>0</v>
      </c>
      <c r="G8" s="342">
        <v>0</v>
      </c>
      <c r="H8" s="342">
        <v>0</v>
      </c>
      <c r="I8" s="383">
        <v>248.6</v>
      </c>
      <c r="J8" s="342">
        <f t="shared" si="0"/>
        <v>44089211.832759343</v>
      </c>
      <c r="K8" s="28">
        <v>108.65895269143728</v>
      </c>
      <c r="L8" s="11">
        <f t="shared" si="1"/>
        <v>53265.315299999995</v>
      </c>
      <c r="M8" s="155">
        <v>352.08</v>
      </c>
      <c r="N8" s="11">
        <f t="shared" si="2"/>
        <v>746251.93275934458</v>
      </c>
      <c r="O8" s="152">
        <f t="shared" si="3"/>
        <v>1.7217373582262999E-2</v>
      </c>
      <c r="P8" s="29" t="s">
        <v>26</v>
      </c>
      <c r="Q8" s="387">
        <v>0.97731697838905129</v>
      </c>
      <c r="R8"/>
      <c r="S8"/>
      <c r="T8"/>
      <c r="U8"/>
      <c r="V8"/>
    </row>
    <row r="9" spans="1:26" x14ac:dyDescent="0.2">
      <c r="A9" s="341">
        <v>36342</v>
      </c>
      <c r="B9" s="342">
        <v>45592773.400000006</v>
      </c>
      <c r="C9" s="146">
        <v>17.899999999999999</v>
      </c>
      <c r="D9" s="146">
        <v>80.400000000000006</v>
      </c>
      <c r="E9" s="342">
        <v>31</v>
      </c>
      <c r="F9" s="342">
        <v>0</v>
      </c>
      <c r="G9" s="342">
        <v>0</v>
      </c>
      <c r="H9" s="342">
        <v>0</v>
      </c>
      <c r="I9" s="383">
        <v>248.6</v>
      </c>
      <c r="J9" s="342">
        <f t="shared" si="0"/>
        <v>46231140.585277744</v>
      </c>
      <c r="K9" s="28">
        <v>109.31578726172135</v>
      </c>
      <c r="L9" s="11">
        <f t="shared" si="1"/>
        <v>53239.298599999995</v>
      </c>
      <c r="M9" s="155">
        <v>336.28800000000001</v>
      </c>
      <c r="N9" s="11">
        <f t="shared" si="2"/>
        <v>638367.18527773768</v>
      </c>
      <c r="O9" s="152">
        <f t="shared" si="3"/>
        <v>1.4001499309487884E-2</v>
      </c>
      <c r="P9" s="29" t="s">
        <v>27</v>
      </c>
      <c r="Q9" s="306">
        <v>1085133.9076453242</v>
      </c>
      <c r="R9"/>
      <c r="S9"/>
      <c r="T9"/>
      <c r="U9"/>
      <c r="V9"/>
    </row>
    <row r="10" spans="1:26" ht="13.5" thickBot="1" x14ac:dyDescent="0.25">
      <c r="A10" s="341">
        <v>36373</v>
      </c>
      <c r="B10" s="342">
        <v>42287374.5</v>
      </c>
      <c r="C10" s="146">
        <v>56.3</v>
      </c>
      <c r="D10" s="146">
        <v>23.2</v>
      </c>
      <c r="E10" s="342">
        <v>31</v>
      </c>
      <c r="F10" s="342">
        <v>0</v>
      </c>
      <c r="G10" s="342">
        <v>0</v>
      </c>
      <c r="H10" s="342">
        <v>0</v>
      </c>
      <c r="I10" s="383">
        <v>248.6</v>
      </c>
      <c r="J10" s="342">
        <f t="shared" si="0"/>
        <v>42520541.873749904</v>
      </c>
      <c r="K10" s="28">
        <v>109.97659234379516</v>
      </c>
      <c r="L10" s="11">
        <f t="shared" si="1"/>
        <v>53213.281899999994</v>
      </c>
      <c r="M10" s="155">
        <v>336.28800000000001</v>
      </c>
      <c r="N10" s="11">
        <f t="shared" si="2"/>
        <v>233167.37374990433</v>
      </c>
      <c r="O10" s="152">
        <f t="shared" si="3"/>
        <v>5.5138768132768409E-3</v>
      </c>
      <c r="P10" s="30" t="s">
        <v>28</v>
      </c>
      <c r="Q10" s="30">
        <v>192</v>
      </c>
      <c r="R10"/>
      <c r="S10"/>
      <c r="T10"/>
      <c r="U10"/>
      <c r="V10"/>
    </row>
    <row r="11" spans="1:26" x14ac:dyDescent="0.2">
      <c r="A11" s="341">
        <v>36404</v>
      </c>
      <c r="B11" s="342">
        <v>41300857.799999997</v>
      </c>
      <c r="C11" s="146">
        <v>114.9</v>
      </c>
      <c r="D11" s="146">
        <v>28.3</v>
      </c>
      <c r="E11" s="342">
        <v>30</v>
      </c>
      <c r="F11" s="342">
        <v>1</v>
      </c>
      <c r="G11" s="342">
        <v>0</v>
      </c>
      <c r="H11" s="342">
        <v>0</v>
      </c>
      <c r="I11" s="383">
        <v>248.6</v>
      </c>
      <c r="J11" s="342">
        <f t="shared" si="0"/>
        <v>41451707.210118055</v>
      </c>
      <c r="K11" s="28">
        <v>110.64139193908095</v>
      </c>
      <c r="L11" s="11">
        <f t="shared" si="1"/>
        <v>53187.265199999994</v>
      </c>
      <c r="M11" s="155">
        <v>336.24</v>
      </c>
      <c r="N11" s="11">
        <f t="shared" si="2"/>
        <v>150849.41011805832</v>
      </c>
      <c r="O11" s="152">
        <f t="shared" si="3"/>
        <v>3.6524522286812727E-3</v>
      </c>
      <c r="P11"/>
      <c r="Q11"/>
      <c r="R11"/>
      <c r="S11"/>
      <c r="T11"/>
      <c r="U11"/>
      <c r="V11"/>
    </row>
    <row r="12" spans="1:26" ht="13.5" thickBot="1" x14ac:dyDescent="0.25">
      <c r="A12" s="341">
        <v>36434</v>
      </c>
      <c r="B12" s="342">
        <v>46442289.5</v>
      </c>
      <c r="C12" s="146">
        <v>396.7</v>
      </c>
      <c r="D12" s="146">
        <v>0</v>
      </c>
      <c r="E12" s="342">
        <v>31</v>
      </c>
      <c r="F12" s="342">
        <v>1</v>
      </c>
      <c r="G12" s="342">
        <v>0</v>
      </c>
      <c r="H12" s="342">
        <v>0</v>
      </c>
      <c r="I12" s="383">
        <v>248.6</v>
      </c>
      <c r="J12" s="342">
        <f t="shared" si="0"/>
        <v>47349159.90863695</v>
      </c>
      <c r="K12" s="28">
        <v>111.31021019408762</v>
      </c>
      <c r="L12" s="11">
        <f t="shared" si="1"/>
        <v>53161.248499999994</v>
      </c>
      <c r="M12" s="155">
        <v>319.92</v>
      </c>
      <c r="N12" s="11">
        <f t="shared" si="2"/>
        <v>906870.40863694996</v>
      </c>
      <c r="O12" s="152">
        <f t="shared" si="3"/>
        <v>1.9526823901240914E-2</v>
      </c>
      <c r="P12" t="s">
        <v>29</v>
      </c>
      <c r="Q12"/>
      <c r="R12"/>
      <c r="S12"/>
      <c r="T12"/>
      <c r="U12"/>
      <c r="V12"/>
    </row>
    <row r="13" spans="1:26" x14ac:dyDescent="0.2">
      <c r="A13" s="341">
        <v>36465</v>
      </c>
      <c r="B13" s="342">
        <v>50218866</v>
      </c>
      <c r="C13" s="146">
        <v>504.5</v>
      </c>
      <c r="D13" s="146">
        <v>0</v>
      </c>
      <c r="E13" s="342">
        <v>30</v>
      </c>
      <c r="F13" s="342">
        <v>1</v>
      </c>
      <c r="G13" s="342">
        <v>0</v>
      </c>
      <c r="H13" s="342">
        <v>0</v>
      </c>
      <c r="I13" s="383">
        <v>248.6</v>
      </c>
      <c r="J13" s="342">
        <f t="shared" si="0"/>
        <v>48902752.00110621</v>
      </c>
      <c r="K13" s="28">
        <v>111.98307140128777</v>
      </c>
      <c r="L13" s="11">
        <f t="shared" si="1"/>
        <v>53135.231799999994</v>
      </c>
      <c r="M13" s="155">
        <v>352.08</v>
      </c>
      <c r="N13" s="11">
        <f t="shared" si="2"/>
        <v>-1316113.9988937899</v>
      </c>
      <c r="O13" s="152">
        <f t="shared" si="3"/>
        <v>2.6207561096536706E-2</v>
      </c>
      <c r="P13" s="31"/>
      <c r="Q13" s="31" t="s">
        <v>32</v>
      </c>
      <c r="R13" s="31" t="s">
        <v>33</v>
      </c>
      <c r="S13" s="31" t="s">
        <v>34</v>
      </c>
      <c r="T13" s="31" t="s">
        <v>35</v>
      </c>
      <c r="U13" s="31" t="s">
        <v>36</v>
      </c>
      <c r="V13"/>
    </row>
    <row r="14" spans="1:26" x14ac:dyDescent="0.2">
      <c r="A14" s="341">
        <v>36495</v>
      </c>
      <c r="B14" s="342">
        <v>58891278.099999994</v>
      </c>
      <c r="C14" s="146">
        <v>759</v>
      </c>
      <c r="D14" s="146">
        <v>0</v>
      </c>
      <c r="E14" s="342">
        <v>31</v>
      </c>
      <c r="F14" s="342">
        <v>0</v>
      </c>
      <c r="G14" s="342">
        <v>0</v>
      </c>
      <c r="H14" s="342">
        <v>0</v>
      </c>
      <c r="I14" s="383">
        <v>248.6</v>
      </c>
      <c r="J14" s="342">
        <f t="shared" si="0"/>
        <v>58234181.136257626</v>
      </c>
      <c r="K14" s="28">
        <v>112.66</v>
      </c>
      <c r="L14" s="11">
        <f t="shared" si="1"/>
        <v>53109.215099999994</v>
      </c>
      <c r="M14" s="155">
        <v>336.28800000000001</v>
      </c>
      <c r="N14" s="11">
        <f t="shared" si="2"/>
        <v>-657096.96374236792</v>
      </c>
      <c r="O14" s="152">
        <f t="shared" si="3"/>
        <v>1.1157797639008414E-2</v>
      </c>
      <c r="P14" s="29" t="s">
        <v>30</v>
      </c>
      <c r="Q14" s="29">
        <v>7</v>
      </c>
      <c r="R14" s="29">
        <v>9698483488602472</v>
      </c>
      <c r="S14" s="29">
        <v>1385497641228924.5</v>
      </c>
      <c r="T14" s="29">
        <v>1176.6278460727535</v>
      </c>
      <c r="U14" s="29">
        <v>4.1423888939880497E-149</v>
      </c>
      <c r="V14"/>
    </row>
    <row r="15" spans="1:26" x14ac:dyDescent="0.2">
      <c r="A15" s="341">
        <v>36526</v>
      </c>
      <c r="B15" s="342">
        <v>64153164.5</v>
      </c>
      <c r="C15" s="146">
        <v>972</v>
      </c>
      <c r="D15" s="146">
        <v>0</v>
      </c>
      <c r="E15" s="342">
        <v>31</v>
      </c>
      <c r="F15" s="342">
        <v>0</v>
      </c>
      <c r="G15" s="342">
        <v>0</v>
      </c>
      <c r="H15" s="342">
        <v>0</v>
      </c>
      <c r="I15" s="383">
        <v>248.6</v>
      </c>
      <c r="J15" s="342">
        <f t="shared" si="0"/>
        <v>63571738.088136159</v>
      </c>
      <c r="K15" s="28">
        <v>113.19947436635084</v>
      </c>
      <c r="L15" s="11">
        <f t="shared" si="1"/>
        <v>53083.198399999994</v>
      </c>
      <c r="M15" s="155">
        <v>319.92</v>
      </c>
      <c r="N15" s="11">
        <f t="shared" si="2"/>
        <v>-581426.41186384112</v>
      </c>
      <c r="O15" s="152">
        <f t="shared" si="3"/>
        <v>9.063097921909076E-3</v>
      </c>
      <c r="P15" s="29" t="s">
        <v>31</v>
      </c>
      <c r="Q15" s="29">
        <v>184</v>
      </c>
      <c r="R15" s="29">
        <v>216662869943976.44</v>
      </c>
      <c r="S15" s="29">
        <v>1177515597521.6111</v>
      </c>
      <c r="T15" s="29"/>
      <c r="U15" s="29"/>
      <c r="V15"/>
    </row>
    <row r="16" spans="1:26" ht="13.5" thickBot="1" x14ac:dyDescent="0.25">
      <c r="A16" s="341">
        <v>36557</v>
      </c>
      <c r="B16" s="342">
        <v>56490500.700000003</v>
      </c>
      <c r="C16" s="146">
        <v>758.8</v>
      </c>
      <c r="D16" s="146">
        <v>0</v>
      </c>
      <c r="E16" s="342">
        <v>29</v>
      </c>
      <c r="F16" s="342">
        <v>0</v>
      </c>
      <c r="G16" s="342">
        <v>0</v>
      </c>
      <c r="H16" s="342">
        <v>0</v>
      </c>
      <c r="I16" s="383">
        <v>248.6</v>
      </c>
      <c r="J16" s="342">
        <f t="shared" si="0"/>
        <v>55933643.301405594</v>
      </c>
      <c r="K16" s="28">
        <v>113.74153201507296</v>
      </c>
      <c r="L16" s="11">
        <f t="shared" si="1"/>
        <v>53057.181699999994</v>
      </c>
      <c r="M16" s="155">
        <v>336.16799999999995</v>
      </c>
      <c r="N16" s="11">
        <f t="shared" si="2"/>
        <v>-556857.39859440923</v>
      </c>
      <c r="O16" s="152">
        <f t="shared" si="3"/>
        <v>9.8575405013963564E-3</v>
      </c>
      <c r="P16" s="30" t="s">
        <v>12</v>
      </c>
      <c r="Q16" s="30">
        <v>191</v>
      </c>
      <c r="R16" s="30">
        <v>9915146358546448</v>
      </c>
      <c r="S16" s="30"/>
      <c r="T16" s="30"/>
      <c r="U16" s="30"/>
      <c r="V16"/>
    </row>
    <row r="17" spans="1:22" ht="13.5" thickBot="1" x14ac:dyDescent="0.25">
      <c r="A17" s="341">
        <v>36586</v>
      </c>
      <c r="B17" s="342">
        <v>52703249.400000006</v>
      </c>
      <c r="C17" s="146">
        <v>570.79999999999995</v>
      </c>
      <c r="D17" s="146">
        <v>0</v>
      </c>
      <c r="E17" s="342">
        <v>31</v>
      </c>
      <c r="F17" s="342">
        <v>1</v>
      </c>
      <c r="G17" s="342">
        <v>0</v>
      </c>
      <c r="H17" s="342">
        <v>0</v>
      </c>
      <c r="I17" s="383">
        <v>248.6</v>
      </c>
      <c r="J17" s="342">
        <f t="shared" si="0"/>
        <v>51711923.595594943</v>
      </c>
      <c r="K17" s="28">
        <v>114.28618531625887</v>
      </c>
      <c r="L17" s="11">
        <f t="shared" si="1"/>
        <v>53031.164999999994</v>
      </c>
      <c r="M17" s="155">
        <v>368.28</v>
      </c>
      <c r="N17" s="11">
        <f t="shared" si="2"/>
        <v>-991325.80440506339</v>
      </c>
      <c r="O17" s="152">
        <f t="shared" si="3"/>
        <v>1.880957655724854E-2</v>
      </c>
      <c r="P17"/>
      <c r="Q17"/>
      <c r="R17"/>
      <c r="S17"/>
      <c r="T17"/>
      <c r="U17"/>
      <c r="V17"/>
    </row>
    <row r="18" spans="1:22" x14ac:dyDescent="0.2">
      <c r="A18" s="341">
        <v>36617</v>
      </c>
      <c r="B18" s="342">
        <v>45985994.700000003</v>
      </c>
      <c r="C18" s="146">
        <v>435.7</v>
      </c>
      <c r="D18" s="146">
        <v>0</v>
      </c>
      <c r="E18" s="342">
        <v>30</v>
      </c>
      <c r="F18" s="342">
        <v>1</v>
      </c>
      <c r="G18" s="342">
        <v>0</v>
      </c>
      <c r="H18" s="342">
        <v>0</v>
      </c>
      <c r="I18" s="383">
        <v>248.6</v>
      </c>
      <c r="J18" s="342">
        <f t="shared" si="0"/>
        <v>47178696.046696618</v>
      </c>
      <c r="K18" s="28">
        <v>114.83344669923545</v>
      </c>
      <c r="L18" s="11">
        <f t="shared" si="1"/>
        <v>53005.148299999993</v>
      </c>
      <c r="M18" s="155">
        <v>303.83999999999997</v>
      </c>
      <c r="N18" s="11">
        <f t="shared" si="2"/>
        <v>1192701.3466966152</v>
      </c>
      <c r="O18" s="152">
        <f t="shared" si="3"/>
        <v>2.5936186755934523E-2</v>
      </c>
      <c r="P18" s="31"/>
      <c r="Q18" s="31" t="s">
        <v>37</v>
      </c>
      <c r="R18" s="31" t="s">
        <v>27</v>
      </c>
      <c r="S18" s="31" t="s">
        <v>38</v>
      </c>
      <c r="T18" s="31" t="s">
        <v>39</v>
      </c>
      <c r="U18" s="31" t="s">
        <v>40</v>
      </c>
      <c r="V18" s="31" t="s">
        <v>41</v>
      </c>
    </row>
    <row r="19" spans="1:22" x14ac:dyDescent="0.2">
      <c r="A19" s="341">
        <v>36647</v>
      </c>
      <c r="B19" s="342">
        <v>42508040.599999994</v>
      </c>
      <c r="C19" s="146">
        <v>201.1</v>
      </c>
      <c r="D19" s="146">
        <v>2.8</v>
      </c>
      <c r="E19" s="342">
        <v>31</v>
      </c>
      <c r="F19" s="342">
        <v>1</v>
      </c>
      <c r="G19" s="342">
        <v>0</v>
      </c>
      <c r="H19" s="342">
        <v>0</v>
      </c>
      <c r="I19" s="383">
        <v>248.6</v>
      </c>
      <c r="J19" s="342">
        <f t="shared" si="0"/>
        <v>42676370.256906718</v>
      </c>
      <c r="K19" s="28">
        <v>115.38332865284767</v>
      </c>
      <c r="L19" s="11">
        <f t="shared" si="1"/>
        <v>52979.131599999993</v>
      </c>
      <c r="M19" s="155">
        <v>351.91199999999998</v>
      </c>
      <c r="N19" s="11">
        <f t="shared" si="2"/>
        <v>168329.65690672398</v>
      </c>
      <c r="O19" s="152">
        <f t="shared" si="3"/>
        <v>3.9599486245603145E-3</v>
      </c>
      <c r="P19" s="29" t="s">
        <v>150</v>
      </c>
      <c r="Q19" s="306">
        <v>-6420155.6263006218</v>
      </c>
      <c r="R19" s="29">
        <v>4153665.1608035159</v>
      </c>
      <c r="S19" s="388">
        <v>-1.5456603692770119</v>
      </c>
      <c r="T19" s="29">
        <v>0.1239047906950394</v>
      </c>
      <c r="U19" s="29">
        <v>-14615090.021560114</v>
      </c>
      <c r="V19" s="29">
        <v>1774778.7689588694</v>
      </c>
    </row>
    <row r="20" spans="1:22" x14ac:dyDescent="0.2">
      <c r="A20" s="341">
        <v>36678</v>
      </c>
      <c r="B20" s="342">
        <v>41335407.600000001</v>
      </c>
      <c r="C20" s="146">
        <v>104.1</v>
      </c>
      <c r="D20" s="146">
        <v>11.3</v>
      </c>
      <c r="E20" s="342">
        <v>30</v>
      </c>
      <c r="F20" s="342">
        <v>0</v>
      </c>
      <c r="G20" s="342">
        <v>0</v>
      </c>
      <c r="H20" s="342">
        <v>0</v>
      </c>
      <c r="I20" s="383">
        <v>248.6</v>
      </c>
      <c r="J20" s="342">
        <f t="shared" si="0"/>
        <v>41598445.332507685</v>
      </c>
      <c r="K20" s="28">
        <v>115.9358437257435</v>
      </c>
      <c r="L20" s="11">
        <f t="shared" si="1"/>
        <v>52953.114899999993</v>
      </c>
      <c r="M20" s="155">
        <v>352.08</v>
      </c>
      <c r="N20" s="11">
        <f t="shared" si="2"/>
        <v>263037.73250768334</v>
      </c>
      <c r="O20" s="152">
        <f t="shared" si="3"/>
        <v>6.3634967641563386E-3</v>
      </c>
      <c r="P20" s="29" t="s">
        <v>4</v>
      </c>
      <c r="Q20" s="306">
        <v>25058.952825720819</v>
      </c>
      <c r="R20" s="29">
        <v>387.19698450657108</v>
      </c>
      <c r="S20" s="388">
        <v>64.718873928357112</v>
      </c>
      <c r="T20" s="29">
        <v>1.5630479869483018E-128</v>
      </c>
      <c r="U20" s="29">
        <v>24295.036197096899</v>
      </c>
      <c r="V20" s="29">
        <v>25822.869454344738</v>
      </c>
    </row>
    <row r="21" spans="1:22" x14ac:dyDescent="0.2">
      <c r="A21" s="341">
        <v>36708</v>
      </c>
      <c r="B21" s="342">
        <v>42423846.600000001</v>
      </c>
      <c r="C21" s="146">
        <v>48.4</v>
      </c>
      <c r="D21" s="146">
        <v>30.6</v>
      </c>
      <c r="E21" s="342">
        <v>31</v>
      </c>
      <c r="F21" s="342">
        <v>0</v>
      </c>
      <c r="G21" s="342">
        <v>0</v>
      </c>
      <c r="H21" s="342">
        <v>0</v>
      </c>
      <c r="I21" s="383">
        <v>248.6</v>
      </c>
      <c r="J21" s="342">
        <f t="shared" si="0"/>
        <v>42927107.309018716</v>
      </c>
      <c r="K21" s="28">
        <v>116.49100452666036</v>
      </c>
      <c r="L21" s="11">
        <f t="shared" si="1"/>
        <v>52927.098199999993</v>
      </c>
      <c r="M21" s="155">
        <v>319.92</v>
      </c>
      <c r="N21" s="11">
        <f t="shared" si="2"/>
        <v>503260.70901871473</v>
      </c>
      <c r="O21" s="152">
        <f t="shared" si="3"/>
        <v>1.1862684535982522E-2</v>
      </c>
      <c r="P21" s="29" t="s">
        <v>5</v>
      </c>
      <c r="Q21" s="306">
        <v>81693.400350271259</v>
      </c>
      <c r="R21" s="29">
        <v>6048.674875952921</v>
      </c>
      <c r="S21" s="388">
        <v>13.50599958266084</v>
      </c>
      <c r="T21" s="29">
        <v>2.4894326562920004E-29</v>
      </c>
      <c r="U21" s="29">
        <v>69759.724459771794</v>
      </c>
      <c r="V21" s="29">
        <v>93627.076240770723</v>
      </c>
    </row>
    <row r="22" spans="1:22" x14ac:dyDescent="0.2">
      <c r="A22" s="341">
        <v>36739</v>
      </c>
      <c r="B22" s="342">
        <v>43723678.899999999</v>
      </c>
      <c r="C22" s="146">
        <v>51.5</v>
      </c>
      <c r="D22" s="146">
        <v>24.2</v>
      </c>
      <c r="E22" s="342">
        <v>31</v>
      </c>
      <c r="F22" s="342">
        <v>0</v>
      </c>
      <c r="G22" s="342">
        <v>0</v>
      </c>
      <c r="H22" s="342">
        <v>0</v>
      </c>
      <c r="I22" s="383">
        <v>248.6</v>
      </c>
      <c r="J22" s="342">
        <f t="shared" si="0"/>
        <v>42481952.300536714</v>
      </c>
      <c r="K22" s="28">
        <v>117.04882372471283</v>
      </c>
      <c r="L22" s="11">
        <f t="shared" si="1"/>
        <v>52901.081499999993</v>
      </c>
      <c r="M22" s="155">
        <v>351.91199999999998</v>
      </c>
      <c r="N22" s="11">
        <f t="shared" si="2"/>
        <v>-1241726.599463284</v>
      </c>
      <c r="O22" s="152">
        <f t="shared" si="3"/>
        <v>2.8399408071384497E-2</v>
      </c>
      <c r="P22" s="29" t="s">
        <v>6</v>
      </c>
      <c r="Q22" s="306">
        <v>1147763.0221434459</v>
      </c>
      <c r="R22" s="29">
        <v>100094.57356641977</v>
      </c>
      <c r="S22" s="388">
        <v>11.466785673269536</v>
      </c>
      <c r="T22" s="29">
        <v>2.5864496229566053E-23</v>
      </c>
      <c r="U22" s="29">
        <v>950282.37988108164</v>
      </c>
      <c r="V22" s="29">
        <v>1345243.6644058102</v>
      </c>
    </row>
    <row r="23" spans="1:22" x14ac:dyDescent="0.2">
      <c r="A23" s="341">
        <v>36770</v>
      </c>
      <c r="B23" s="342">
        <v>41935856.200000003</v>
      </c>
      <c r="C23" s="146">
        <v>195.9</v>
      </c>
      <c r="D23" s="146">
        <v>5.7</v>
      </c>
      <c r="E23" s="342">
        <v>30</v>
      </c>
      <c r="F23" s="342">
        <v>1</v>
      </c>
      <c r="G23" s="342">
        <v>0</v>
      </c>
      <c r="H23" s="342">
        <v>0</v>
      </c>
      <c r="I23" s="383">
        <v>248.6</v>
      </c>
      <c r="J23" s="342">
        <f t="shared" si="0"/>
        <v>41635211.54108531</v>
      </c>
      <c r="K23" s="28">
        <v>117.60931404968176</v>
      </c>
      <c r="L23" s="11">
        <f t="shared" si="1"/>
        <v>52875.064799999993</v>
      </c>
      <c r="M23" s="155">
        <v>319.68</v>
      </c>
      <c r="N23" s="11">
        <f t="shared" si="2"/>
        <v>-300644.6589146927</v>
      </c>
      <c r="O23" s="152">
        <f t="shared" si="3"/>
        <v>7.1691551373331127E-3</v>
      </c>
      <c r="P23" s="29" t="s">
        <v>20</v>
      </c>
      <c r="Q23" s="306">
        <v>-1806162.618862028</v>
      </c>
      <c r="R23" s="29">
        <v>205502.16640955597</v>
      </c>
      <c r="S23" s="388">
        <v>-8.7890198454766288</v>
      </c>
      <c r="T23" s="29">
        <v>1.0535840795089326E-15</v>
      </c>
      <c r="U23" s="29">
        <v>-2211606.1745202867</v>
      </c>
      <c r="V23" s="29">
        <v>-1400719.0632037695</v>
      </c>
    </row>
    <row r="24" spans="1:22" x14ac:dyDescent="0.2">
      <c r="A24" s="341">
        <v>36800</v>
      </c>
      <c r="B24" s="342">
        <v>45622937.200000003</v>
      </c>
      <c r="C24" s="146">
        <v>336.8</v>
      </c>
      <c r="D24" s="146">
        <v>0</v>
      </c>
      <c r="E24" s="342">
        <v>31</v>
      </c>
      <c r="F24" s="342">
        <v>1</v>
      </c>
      <c r="G24" s="342">
        <v>0</v>
      </c>
      <c r="H24" s="342">
        <v>0</v>
      </c>
      <c r="I24" s="383">
        <v>248.6</v>
      </c>
      <c r="J24" s="342">
        <f t="shared" si="0"/>
        <v>45848128.634376273</v>
      </c>
      <c r="K24" s="28">
        <v>118.17248829230476</v>
      </c>
      <c r="L24" s="11">
        <f t="shared" si="1"/>
        <v>52849.048099999993</v>
      </c>
      <c r="M24" s="155">
        <v>336.28800000000001</v>
      </c>
      <c r="N24" s="11">
        <f t="shared" si="2"/>
        <v>225191.43437626958</v>
      </c>
      <c r="O24" s="152">
        <f t="shared" si="3"/>
        <v>4.935925834609999E-3</v>
      </c>
      <c r="P24" s="29" t="s">
        <v>188</v>
      </c>
      <c r="Q24" s="306">
        <v>-2071175.4114340367</v>
      </c>
      <c r="R24" s="29">
        <v>201360.52658026907</v>
      </c>
      <c r="S24" s="388">
        <v>-10.285905815847162</v>
      </c>
      <c r="T24" s="29">
        <v>6.8231480981729973E-20</v>
      </c>
      <c r="U24" s="29">
        <v>-2468447.7579611205</v>
      </c>
      <c r="V24" s="29">
        <v>-1673903.0649069529</v>
      </c>
    </row>
    <row r="25" spans="1:22" x14ac:dyDescent="0.2">
      <c r="A25" s="341">
        <v>36831</v>
      </c>
      <c r="B25" s="342">
        <v>50313527.200000003</v>
      </c>
      <c r="C25" s="146">
        <v>552.70000000000005</v>
      </c>
      <c r="D25" s="146">
        <v>0</v>
      </c>
      <c r="E25" s="342">
        <v>30</v>
      </c>
      <c r="F25" s="342">
        <v>1</v>
      </c>
      <c r="G25" s="342">
        <v>0</v>
      </c>
      <c r="H25" s="342">
        <v>0</v>
      </c>
      <c r="I25" s="383">
        <v>248.6</v>
      </c>
      <c r="J25" s="342">
        <f t="shared" si="0"/>
        <v>50110593.527305953</v>
      </c>
      <c r="K25" s="28">
        <v>118.73835930456814</v>
      </c>
      <c r="L25" s="11">
        <f t="shared" si="1"/>
        <v>52823.031399999993</v>
      </c>
      <c r="M25" s="155">
        <v>352.08</v>
      </c>
      <c r="N25" s="11">
        <f t="shared" si="2"/>
        <v>-202933.67269404978</v>
      </c>
      <c r="O25" s="152">
        <f t="shared" si="3"/>
        <v>4.0333819548642128E-3</v>
      </c>
      <c r="P25" s="29" t="s">
        <v>332</v>
      </c>
      <c r="Q25" s="306">
        <v>-3321569.2795859524</v>
      </c>
      <c r="R25" s="29">
        <v>1102866.7152579438</v>
      </c>
      <c r="S25" s="388">
        <v>-3.011759475222795</v>
      </c>
      <c r="T25" s="29">
        <v>2.9627448064194705E-3</v>
      </c>
      <c r="U25" s="29">
        <v>-5497459.7349701356</v>
      </c>
      <c r="V25" s="29">
        <v>-1145678.8242017692</v>
      </c>
    </row>
    <row r="26" spans="1:22" ht="13.5" thickBot="1" x14ac:dyDescent="0.25">
      <c r="A26" s="341">
        <v>36861</v>
      </c>
      <c r="B26" s="342">
        <v>63560276.100000001</v>
      </c>
      <c r="C26" s="146">
        <v>977.2</v>
      </c>
      <c r="D26" s="146">
        <v>0</v>
      </c>
      <c r="E26" s="342">
        <v>31</v>
      </c>
      <c r="F26" s="342">
        <v>0</v>
      </c>
      <c r="G26" s="342">
        <v>0</v>
      </c>
      <c r="H26" s="342">
        <v>0</v>
      </c>
      <c r="I26" s="383">
        <v>248.6</v>
      </c>
      <c r="J26" s="342">
        <f t="shared" si="0"/>
        <v>63702044.642829917</v>
      </c>
      <c r="K26" s="28">
        <v>119.30694000000001</v>
      </c>
      <c r="L26" s="11">
        <f t="shared" si="1"/>
        <v>52797.014699999992</v>
      </c>
      <c r="M26" s="155">
        <v>304.29599999999999</v>
      </c>
      <c r="N26" s="11">
        <f t="shared" si="2"/>
        <v>141768.54282991588</v>
      </c>
      <c r="O26" s="152">
        <f t="shared" si="3"/>
        <v>2.2304582599180353E-3</v>
      </c>
      <c r="P26" s="30" t="s">
        <v>333</v>
      </c>
      <c r="Q26" s="307">
        <v>40442.22800237059</v>
      </c>
      <c r="R26" s="30">
        <v>12276.809153626109</v>
      </c>
      <c r="S26" s="389">
        <v>3.2941970096867941</v>
      </c>
      <c r="T26" s="30">
        <v>1.1838969178734199E-3</v>
      </c>
      <c r="U26" s="30">
        <v>16220.813492004792</v>
      </c>
      <c r="V26" s="30">
        <v>64663.642512736391</v>
      </c>
    </row>
    <row r="27" spans="1:22" x14ac:dyDescent="0.2">
      <c r="A27" s="341">
        <v>36892</v>
      </c>
      <c r="B27" s="342">
        <v>62009098.799999997</v>
      </c>
      <c r="C27" s="146">
        <v>883.3</v>
      </c>
      <c r="D27" s="146">
        <v>0</v>
      </c>
      <c r="E27" s="342">
        <v>31</v>
      </c>
      <c r="F27" s="342">
        <v>0</v>
      </c>
      <c r="G27" s="342">
        <v>0</v>
      </c>
      <c r="H27" s="342">
        <v>0</v>
      </c>
      <c r="I27" s="383">
        <v>248.6</v>
      </c>
      <c r="J27" s="342">
        <f t="shared" si="0"/>
        <v>61349008.972494729</v>
      </c>
      <c r="K27" s="28">
        <v>119.48444074573526</v>
      </c>
      <c r="L27" s="11">
        <f t="shared" si="1"/>
        <v>52770.997999999992</v>
      </c>
      <c r="M27" s="155">
        <v>351.91199999999998</v>
      </c>
      <c r="N27" s="11">
        <f t="shared" si="2"/>
        <v>-660089.82750526816</v>
      </c>
      <c r="O27" s="152">
        <f t="shared" si="3"/>
        <v>1.0645047908763805E-2</v>
      </c>
      <c r="P27"/>
      <c r="Q27"/>
      <c r="R27"/>
      <c r="S27"/>
      <c r="T27"/>
      <c r="U27"/>
      <c r="V27"/>
    </row>
    <row r="28" spans="1:22" x14ac:dyDescent="0.2">
      <c r="A28" s="341">
        <v>36925</v>
      </c>
      <c r="B28" s="342">
        <v>55385237.399999999</v>
      </c>
      <c r="C28" s="146">
        <v>813.7</v>
      </c>
      <c r="D28" s="146">
        <v>0</v>
      </c>
      <c r="E28" s="342">
        <v>28</v>
      </c>
      <c r="F28" s="342">
        <v>0</v>
      </c>
      <c r="G28" s="342">
        <v>0</v>
      </c>
      <c r="H28" s="342">
        <v>0</v>
      </c>
      <c r="I28" s="383">
        <v>248.6</v>
      </c>
      <c r="J28" s="342">
        <f t="shared" si="0"/>
        <v>56161616.789394222</v>
      </c>
      <c r="K28" s="28">
        <v>119.662205570951</v>
      </c>
      <c r="L28" s="11">
        <f t="shared" ref="L28:L59" si="4">L27+19.9167</f>
        <v>52790.914699999994</v>
      </c>
      <c r="M28" s="155">
        <v>319.87200000000001</v>
      </c>
      <c r="N28" s="11">
        <f t="shared" si="2"/>
        <v>776379.38939422369</v>
      </c>
      <c r="O28" s="152">
        <f t="shared" si="3"/>
        <v>1.4017803765777914E-2</v>
      </c>
      <c r="P28"/>
      <c r="Q28"/>
      <c r="R28"/>
      <c r="S28"/>
      <c r="T28"/>
      <c r="U28"/>
      <c r="V28"/>
    </row>
    <row r="29" spans="1:22" x14ac:dyDescent="0.2">
      <c r="A29" s="341">
        <v>36958</v>
      </c>
      <c r="B29" s="342">
        <v>55156674</v>
      </c>
      <c r="C29" s="146">
        <v>709.6</v>
      </c>
      <c r="D29" s="146">
        <v>0</v>
      </c>
      <c r="E29" s="342">
        <v>31</v>
      </c>
      <c r="F29" s="342">
        <v>1</v>
      </c>
      <c r="G29" s="342">
        <v>0</v>
      </c>
      <c r="H29" s="342">
        <v>0</v>
      </c>
      <c r="I29" s="383">
        <v>248.6</v>
      </c>
      <c r="J29" s="342">
        <f t="shared" si="0"/>
        <v>55190106.247804999</v>
      </c>
      <c r="K29" s="28">
        <v>119.8402348685356</v>
      </c>
      <c r="L29" s="11">
        <f t="shared" si="4"/>
        <v>52810.831399999995</v>
      </c>
      <c r="M29" s="155">
        <v>351.91199999999998</v>
      </c>
      <c r="N29" s="11">
        <f t="shared" si="2"/>
        <v>33432.247804999352</v>
      </c>
      <c r="O29" s="152">
        <f t="shared" si="3"/>
        <v>6.0613241119287489E-4</v>
      </c>
      <c r="P29"/>
      <c r="Q29"/>
      <c r="R29"/>
      <c r="S29"/>
      <c r="T29"/>
      <c r="U29"/>
      <c r="V29"/>
    </row>
    <row r="30" spans="1:22" x14ac:dyDescent="0.2">
      <c r="A30" s="341">
        <v>36991</v>
      </c>
      <c r="B30" s="342">
        <v>46076998.200000003</v>
      </c>
      <c r="C30" s="146">
        <v>387.2</v>
      </c>
      <c r="D30" s="146">
        <v>0</v>
      </c>
      <c r="E30" s="342">
        <v>30</v>
      </c>
      <c r="F30" s="342">
        <v>1</v>
      </c>
      <c r="G30" s="342">
        <v>0</v>
      </c>
      <c r="H30" s="342">
        <v>0</v>
      </c>
      <c r="I30" s="383">
        <v>248.1</v>
      </c>
      <c r="J30" s="342">
        <f t="shared" si="0"/>
        <v>45943115.720647976</v>
      </c>
      <c r="K30" s="28">
        <v>120.0185290319619</v>
      </c>
      <c r="L30" s="11">
        <f t="shared" si="4"/>
        <v>52830.748099999997</v>
      </c>
      <c r="M30" s="155">
        <v>319.68</v>
      </c>
      <c r="N30" s="11">
        <f t="shared" si="2"/>
        <v>-133882.47935202718</v>
      </c>
      <c r="O30" s="152">
        <f t="shared" si="3"/>
        <v>2.9056250316242859E-3</v>
      </c>
      <c r="P30" s="106" t="str">
        <f t="shared" ref="P30:Q33" si="5">P21</f>
        <v>Cooling Degree Days</v>
      </c>
      <c r="Q30" s="385">
        <f t="shared" si="5"/>
        <v>81693.400350271259</v>
      </c>
      <c r="V30"/>
    </row>
    <row r="31" spans="1:22" x14ac:dyDescent="0.2">
      <c r="A31" s="341">
        <v>37024</v>
      </c>
      <c r="B31" s="342">
        <v>43199113.899999999</v>
      </c>
      <c r="C31" s="146">
        <v>155.5</v>
      </c>
      <c r="D31" s="146">
        <v>3.7</v>
      </c>
      <c r="E31" s="342">
        <v>31</v>
      </c>
      <c r="F31" s="342">
        <v>1</v>
      </c>
      <c r="G31" s="342">
        <v>0</v>
      </c>
      <c r="H31" s="342">
        <v>0</v>
      </c>
      <c r="I31" s="383">
        <v>251.4</v>
      </c>
      <c r="J31" s="342">
        <f t="shared" si="0"/>
        <v>41720444.306775734</v>
      </c>
      <c r="K31" s="28">
        <v>120.19708845528815</v>
      </c>
      <c r="L31" s="11">
        <f t="shared" si="4"/>
        <v>52850.664799999999</v>
      </c>
      <c r="M31" s="155">
        <v>351.91199999999998</v>
      </c>
      <c r="N31" s="11">
        <f t="shared" si="2"/>
        <v>-1478669.5932242647</v>
      </c>
      <c r="O31" s="152">
        <f t="shared" si="3"/>
        <v>3.4229164900168585E-2</v>
      </c>
      <c r="P31" s="106" t="str">
        <f t="shared" si="5"/>
        <v>Number of Days in Month</v>
      </c>
      <c r="Q31" s="385">
        <f t="shared" si="5"/>
        <v>1147763.0221434459</v>
      </c>
    </row>
    <row r="32" spans="1:22" x14ac:dyDescent="0.2">
      <c r="A32" s="341">
        <v>37057</v>
      </c>
      <c r="B32" s="342">
        <v>43534388.399999999</v>
      </c>
      <c r="C32" s="146">
        <v>59.5</v>
      </c>
      <c r="D32" s="146">
        <v>38.1</v>
      </c>
      <c r="E32" s="342">
        <v>30</v>
      </c>
      <c r="F32" s="342">
        <v>0</v>
      </c>
      <c r="G32" s="342">
        <v>0</v>
      </c>
      <c r="H32" s="342">
        <v>0</v>
      </c>
      <c r="I32" s="383">
        <v>254.7</v>
      </c>
      <c r="J32" s="342">
        <f t="shared" si="0"/>
        <v>42916896.756682269</v>
      </c>
      <c r="K32" s="28">
        <v>120.37591353315888</v>
      </c>
      <c r="L32" s="11">
        <f t="shared" si="4"/>
        <v>52870.5815</v>
      </c>
      <c r="M32" s="155">
        <v>336.24</v>
      </c>
      <c r="N32" s="11">
        <f t="shared" si="2"/>
        <v>-617491.64331772923</v>
      </c>
      <c r="O32" s="152">
        <f t="shared" si="3"/>
        <v>1.4183997203409186E-2</v>
      </c>
      <c r="P32" s="106" t="str">
        <f t="shared" si="5"/>
        <v>Spring Fall Flag</v>
      </c>
      <c r="Q32" s="385">
        <f t="shared" si="5"/>
        <v>-1806162.618862028</v>
      </c>
    </row>
    <row r="33" spans="1:32" x14ac:dyDescent="0.2">
      <c r="A33" s="341">
        <v>37090</v>
      </c>
      <c r="B33" s="342">
        <v>42688389.599999994</v>
      </c>
      <c r="C33" s="146">
        <v>53.1</v>
      </c>
      <c r="D33" s="146">
        <v>62.5</v>
      </c>
      <c r="E33" s="342">
        <v>31</v>
      </c>
      <c r="F33" s="342">
        <v>0</v>
      </c>
      <c r="G33" s="342">
        <v>0</v>
      </c>
      <c r="H33" s="342">
        <v>0</v>
      </c>
      <c r="I33" s="383">
        <v>257.3</v>
      </c>
      <c r="J33" s="342">
        <f t="shared" si="0"/>
        <v>46002751.242093883</v>
      </c>
      <c r="K33" s="28">
        <v>120.55500466080574</v>
      </c>
      <c r="L33" s="11">
        <f t="shared" si="4"/>
        <v>52890.498200000002</v>
      </c>
      <c r="M33" s="155">
        <v>336.28800000000001</v>
      </c>
      <c r="N33" s="11">
        <f t="shared" si="2"/>
        <v>3314361.6420938894</v>
      </c>
      <c r="O33" s="152">
        <f t="shared" si="3"/>
        <v>7.7640821618014139E-2</v>
      </c>
      <c r="P33" s="106" t="str">
        <f t="shared" si="5"/>
        <v>North Bay  Economy</v>
      </c>
      <c r="Q33" s="385">
        <f t="shared" si="5"/>
        <v>-2071175.4114340367</v>
      </c>
    </row>
    <row r="34" spans="1:32" x14ac:dyDescent="0.2">
      <c r="A34" s="341">
        <v>37123</v>
      </c>
      <c r="B34" s="342">
        <v>45403097</v>
      </c>
      <c r="C34" s="146">
        <v>17.899999999999999</v>
      </c>
      <c r="D34" s="146">
        <v>79</v>
      </c>
      <c r="E34" s="342">
        <v>31</v>
      </c>
      <c r="F34" s="342">
        <v>0</v>
      </c>
      <c r="G34" s="342">
        <v>0</v>
      </c>
      <c r="H34" s="342">
        <v>0</v>
      </c>
      <c r="I34" s="383">
        <v>256.7</v>
      </c>
      <c r="J34" s="342">
        <f t="shared" si="0"/>
        <v>46444351.871606566</v>
      </c>
      <c r="K34" s="28">
        <v>120.7343622340484</v>
      </c>
      <c r="L34" s="11">
        <f t="shared" si="4"/>
        <v>52910.414900000003</v>
      </c>
      <c r="M34" s="155">
        <v>351.91199999999998</v>
      </c>
      <c r="N34" s="11">
        <f t="shared" si="2"/>
        <v>1041254.871606566</v>
      </c>
      <c r="O34" s="152">
        <f t="shared" si="3"/>
        <v>2.2933564897710965E-2</v>
      </c>
      <c r="P34" s="106" t="s">
        <v>305</v>
      </c>
      <c r="Q34" s="385">
        <f>Q19</f>
        <v>-6420155.6263006218</v>
      </c>
    </row>
    <row r="35" spans="1:32" x14ac:dyDescent="0.2">
      <c r="A35" s="341">
        <v>37156</v>
      </c>
      <c r="B35" s="342">
        <v>42491205.600000001</v>
      </c>
      <c r="C35" s="146">
        <v>161.19999999999999</v>
      </c>
      <c r="D35" s="146">
        <v>11.8</v>
      </c>
      <c r="E35" s="342">
        <v>30</v>
      </c>
      <c r="F35" s="342">
        <v>1</v>
      </c>
      <c r="G35" s="342">
        <v>0</v>
      </c>
      <c r="H35" s="342">
        <v>0</v>
      </c>
      <c r="I35" s="383">
        <v>253.4</v>
      </c>
      <c r="J35" s="342">
        <f t="shared" si="0"/>
        <v>41458118.314580828</v>
      </c>
      <c r="K35" s="28">
        <v>120.91398664929544</v>
      </c>
      <c r="L35" s="11">
        <f t="shared" si="4"/>
        <v>52930.331600000005</v>
      </c>
      <c r="M35" s="155">
        <v>303.83999999999997</v>
      </c>
      <c r="N35" s="11">
        <f t="shared" si="2"/>
        <v>-1033087.2854191735</v>
      </c>
      <c r="O35" s="152">
        <f t="shared" si="3"/>
        <v>2.4312967138291165E-2</v>
      </c>
      <c r="P35" s="136"/>
      <c r="Q35" s="137"/>
    </row>
    <row r="36" spans="1:32" x14ac:dyDescent="0.2">
      <c r="A36" s="341">
        <v>37189</v>
      </c>
      <c r="B36" s="342">
        <v>47325120</v>
      </c>
      <c r="C36" s="146">
        <v>341.5</v>
      </c>
      <c r="D36" s="146">
        <v>0</v>
      </c>
      <c r="E36" s="342">
        <v>31</v>
      </c>
      <c r="F36" s="342">
        <v>1</v>
      </c>
      <c r="G36" s="342">
        <v>0</v>
      </c>
      <c r="H36" s="342">
        <v>0</v>
      </c>
      <c r="I36" s="383">
        <v>251.6</v>
      </c>
      <c r="J36" s="342">
        <f t="shared" si="0"/>
        <v>46087232.396664277</v>
      </c>
      <c r="K36" s="28">
        <v>121.09387830354515</v>
      </c>
      <c r="L36" s="11">
        <f t="shared" si="4"/>
        <v>52950.248300000007</v>
      </c>
      <c r="M36" s="155">
        <v>351.91199999999998</v>
      </c>
      <c r="N36" s="11">
        <f t="shared" si="2"/>
        <v>-1237887.6033357233</v>
      </c>
      <c r="O36" s="152">
        <f t="shared" si="3"/>
        <v>2.6157093808440914E-2</v>
      </c>
      <c r="P36" s="136"/>
      <c r="Q36" s="137"/>
    </row>
    <row r="37" spans="1:32" x14ac:dyDescent="0.2">
      <c r="A37" s="341">
        <v>37222</v>
      </c>
      <c r="B37" s="342">
        <v>49866264.600000001</v>
      </c>
      <c r="C37" s="146">
        <v>457.5</v>
      </c>
      <c r="D37" s="146">
        <v>0</v>
      </c>
      <c r="E37" s="342">
        <v>30</v>
      </c>
      <c r="F37" s="342">
        <v>1</v>
      </c>
      <c r="G37" s="342">
        <v>0</v>
      </c>
      <c r="H37" s="342">
        <v>0</v>
      </c>
      <c r="I37" s="383">
        <v>249.5</v>
      </c>
      <c r="J37" s="342">
        <f t="shared" si="0"/>
        <v>47761379.223499469</v>
      </c>
      <c r="K37" s="28">
        <v>121.27403759438651</v>
      </c>
      <c r="L37" s="11">
        <f t="shared" si="4"/>
        <v>52970.165000000008</v>
      </c>
      <c r="M37" s="155">
        <v>352.08</v>
      </c>
      <c r="N37" s="11">
        <f t="shared" si="2"/>
        <v>-2104885.376500532</v>
      </c>
      <c r="O37" s="152">
        <f t="shared" si="3"/>
        <v>4.221060858247104E-2</v>
      </c>
      <c r="P37" s="136"/>
      <c r="Q37" s="137"/>
    </row>
    <row r="38" spans="1:32" x14ac:dyDescent="0.2">
      <c r="A38" s="341">
        <v>37255</v>
      </c>
      <c r="B38" s="342">
        <v>54707252.299999997</v>
      </c>
      <c r="C38" s="146">
        <v>656.1</v>
      </c>
      <c r="D38" s="146">
        <v>0</v>
      </c>
      <c r="E38" s="342">
        <v>31</v>
      </c>
      <c r="F38" s="342">
        <v>0</v>
      </c>
      <c r="G38" s="342">
        <v>0</v>
      </c>
      <c r="H38" s="342">
        <v>0</v>
      </c>
      <c r="I38" s="383">
        <v>247</v>
      </c>
      <c r="J38" s="342">
        <f t="shared" si="0"/>
        <v>55590907.325687163</v>
      </c>
      <c r="K38" s="28">
        <v>121.45446492000001</v>
      </c>
      <c r="L38" s="11">
        <f t="shared" si="4"/>
        <v>52990.08170000001</v>
      </c>
      <c r="M38" s="155">
        <v>304.29599999999999</v>
      </c>
      <c r="N38" s="11">
        <f t="shared" si="2"/>
        <v>883655.02568716556</v>
      </c>
      <c r="O38" s="152">
        <f t="shared" si="3"/>
        <v>1.6152429313054086E-2</v>
      </c>
      <c r="P38" s="136"/>
    </row>
    <row r="39" spans="1:32" s="139" customFormat="1" x14ac:dyDescent="0.2">
      <c r="A39" s="163">
        <v>37275</v>
      </c>
      <c r="B39" s="342">
        <v>59190699.900000006</v>
      </c>
      <c r="C39" s="146">
        <v>799.5</v>
      </c>
      <c r="D39" s="146">
        <v>0</v>
      </c>
      <c r="E39" s="342">
        <v>31</v>
      </c>
      <c r="F39" s="342">
        <v>0</v>
      </c>
      <c r="G39" s="342">
        <v>0</v>
      </c>
      <c r="H39" s="342">
        <v>0</v>
      </c>
      <c r="I39" s="383">
        <v>241.3</v>
      </c>
      <c r="J39" s="342">
        <f t="shared" si="0"/>
        <v>58953840.461282022</v>
      </c>
      <c r="K39" s="28">
        <v>121.76385066248655</v>
      </c>
      <c r="L39" s="11">
        <f t="shared" si="4"/>
        <v>53009.998400000011</v>
      </c>
      <c r="M39" s="155">
        <v>351.91199999999998</v>
      </c>
      <c r="N39" s="11">
        <f t="shared" si="2"/>
        <v>-236859.43871798366</v>
      </c>
      <c r="O39" s="152">
        <f t="shared" si="3"/>
        <v>4.0016326740205284E-3</v>
      </c>
      <c r="P39" s="136"/>
      <c r="Q39" s="25"/>
      <c r="R39" s="25"/>
      <c r="S39" s="25"/>
      <c r="T39" s="25"/>
      <c r="U39" s="25"/>
      <c r="V39" s="25"/>
      <c r="W39" s="25"/>
      <c r="X39" s="138"/>
      <c r="Y39" s="138"/>
      <c r="Z39" s="138"/>
      <c r="AA39" s="138"/>
      <c r="AB39" s="138"/>
      <c r="AC39" s="138"/>
      <c r="AD39" s="138"/>
      <c r="AE39" s="138"/>
      <c r="AF39" s="138"/>
    </row>
    <row r="40" spans="1:32" x14ac:dyDescent="0.2">
      <c r="A40" s="341">
        <v>37308</v>
      </c>
      <c r="B40" s="342">
        <v>54122186.700000003</v>
      </c>
      <c r="C40" s="146">
        <v>770.7</v>
      </c>
      <c r="D40" s="146">
        <v>0</v>
      </c>
      <c r="E40" s="342">
        <v>28</v>
      </c>
      <c r="F40" s="342">
        <v>0</v>
      </c>
      <c r="G40" s="342">
        <v>0</v>
      </c>
      <c r="H40" s="342">
        <v>0</v>
      </c>
      <c r="I40" s="383">
        <v>235.9</v>
      </c>
      <c r="J40" s="342">
        <f t="shared" si="0"/>
        <v>54570465.522258118</v>
      </c>
      <c r="K40" s="28">
        <v>122.07402451546137</v>
      </c>
      <c r="L40" s="11">
        <f t="shared" si="4"/>
        <v>53029.915100000013</v>
      </c>
      <c r="M40" s="155">
        <v>319.87200000000001</v>
      </c>
      <c r="N40" s="11">
        <f t="shared" si="2"/>
        <v>448278.82225811481</v>
      </c>
      <c r="O40" s="152">
        <f t="shared" si="3"/>
        <v>8.2827182268693286E-3</v>
      </c>
      <c r="P40" s="136"/>
    </row>
    <row r="41" spans="1:32" x14ac:dyDescent="0.2">
      <c r="A41" s="341">
        <v>37341</v>
      </c>
      <c r="B41" s="342">
        <v>56174150.400000006</v>
      </c>
      <c r="C41" s="146">
        <v>756.4</v>
      </c>
      <c r="D41" s="146">
        <v>0</v>
      </c>
      <c r="E41" s="342">
        <v>31</v>
      </c>
      <c r="F41" s="342">
        <v>1</v>
      </c>
      <c r="G41" s="342">
        <v>0</v>
      </c>
      <c r="H41" s="342">
        <v>0</v>
      </c>
      <c r="I41" s="383">
        <v>233</v>
      </c>
      <c r="J41" s="342">
        <f t="shared" si="0"/>
        <v>55731966.483211748</v>
      </c>
      <c r="K41" s="28">
        <v>122.3849884865094</v>
      </c>
      <c r="L41" s="11">
        <f t="shared" si="4"/>
        <v>53049.831800000014</v>
      </c>
      <c r="M41" s="155">
        <v>319.92</v>
      </c>
      <c r="N41" s="11">
        <f t="shared" si="2"/>
        <v>-442183.91678825766</v>
      </c>
      <c r="O41" s="152">
        <f t="shared" si="3"/>
        <v>7.8716618522860233E-3</v>
      </c>
      <c r="P41" s="136"/>
    </row>
    <row r="42" spans="1:32" x14ac:dyDescent="0.2">
      <c r="A42" s="341">
        <v>37374</v>
      </c>
      <c r="B42" s="342">
        <v>46696819.100000001</v>
      </c>
      <c r="C42" s="146">
        <v>443.6</v>
      </c>
      <c r="D42" s="146">
        <v>0.5</v>
      </c>
      <c r="E42" s="342">
        <v>30</v>
      </c>
      <c r="F42" s="342">
        <v>1</v>
      </c>
      <c r="G42" s="342">
        <v>0</v>
      </c>
      <c r="H42" s="342">
        <v>0</v>
      </c>
      <c r="I42" s="383">
        <v>235.3</v>
      </c>
      <c r="J42" s="342">
        <f t="shared" si="0"/>
        <v>46879626.841763422</v>
      </c>
      <c r="K42" s="28">
        <v>122.69674458832949</v>
      </c>
      <c r="L42" s="11">
        <f t="shared" si="4"/>
        <v>53069.748500000016</v>
      </c>
      <c r="M42" s="155">
        <v>352.08</v>
      </c>
      <c r="N42" s="11">
        <f t="shared" si="2"/>
        <v>182807.7417634204</v>
      </c>
      <c r="O42" s="152">
        <f t="shared" si="3"/>
        <v>3.9147793208771341E-3</v>
      </c>
      <c r="P42" s="136"/>
    </row>
    <row r="43" spans="1:32" x14ac:dyDescent="0.2">
      <c r="A43" s="341">
        <v>37407</v>
      </c>
      <c r="B43" s="342">
        <v>45039769.999999993</v>
      </c>
      <c r="C43" s="146">
        <v>304</v>
      </c>
      <c r="D43" s="146">
        <v>0.8</v>
      </c>
      <c r="E43" s="342">
        <v>31</v>
      </c>
      <c r="F43" s="342">
        <v>1</v>
      </c>
      <c r="G43" s="342">
        <v>0</v>
      </c>
      <c r="H43" s="342">
        <v>0</v>
      </c>
      <c r="I43" s="383">
        <v>243.8</v>
      </c>
      <c r="J43" s="342">
        <f t="shared" si="0"/>
        <v>44897427.007561475</v>
      </c>
      <c r="K43" s="28">
        <v>123.00929483874758</v>
      </c>
      <c r="L43" s="11">
        <f t="shared" si="4"/>
        <v>53089.665200000018</v>
      </c>
      <c r="M43" s="155">
        <v>351.91199999999998</v>
      </c>
      <c r="N43" s="11">
        <f t="shared" si="2"/>
        <v>-142342.99243851751</v>
      </c>
      <c r="O43" s="152">
        <f t="shared" si="3"/>
        <v>3.1603845321261084E-3</v>
      </c>
      <c r="P43" s="136"/>
    </row>
    <row r="44" spans="1:32" x14ac:dyDescent="0.2">
      <c r="A44" s="341">
        <v>37408</v>
      </c>
      <c r="B44" s="342">
        <v>42372405</v>
      </c>
      <c r="C44" s="146">
        <v>83.6</v>
      </c>
      <c r="D44" s="146">
        <v>34.1</v>
      </c>
      <c r="E44" s="342">
        <v>30</v>
      </c>
      <c r="F44" s="342">
        <v>0</v>
      </c>
      <c r="G44" s="342">
        <v>0</v>
      </c>
      <c r="H44" s="342">
        <v>0</v>
      </c>
      <c r="I44" s="383">
        <v>253.9</v>
      </c>
      <c r="J44" s="342">
        <f t="shared" si="0"/>
        <v>43161690.135979161</v>
      </c>
      <c r="K44" s="28">
        <v>123.32264126072967</v>
      </c>
      <c r="L44" s="11">
        <f t="shared" si="4"/>
        <v>53109.581900000019</v>
      </c>
      <c r="M44" s="155">
        <v>319.68</v>
      </c>
      <c r="N44" s="11">
        <f t="shared" si="2"/>
        <v>789285.13597916067</v>
      </c>
      <c r="O44" s="152">
        <f t="shared" si="3"/>
        <v>1.8627338617648932E-2</v>
      </c>
      <c r="P44" s="136"/>
    </row>
    <row r="45" spans="1:32" x14ac:dyDescent="0.2">
      <c r="A45" s="341">
        <v>37440</v>
      </c>
      <c r="B45" s="342">
        <v>45838809</v>
      </c>
      <c r="C45" s="146">
        <v>18.2</v>
      </c>
      <c r="D45" s="146">
        <v>74.099999999999994</v>
      </c>
      <c r="E45" s="342">
        <v>31</v>
      </c>
      <c r="F45" s="342">
        <v>0</v>
      </c>
      <c r="G45" s="342">
        <v>0</v>
      </c>
      <c r="H45" s="342">
        <v>0</v>
      </c>
      <c r="I45" s="383">
        <v>263.8</v>
      </c>
      <c r="J45" s="342">
        <f t="shared" si="0"/>
        <v>46338711.714554787</v>
      </c>
      <c r="K45" s="28">
        <v>123.63678588239495</v>
      </c>
      <c r="L45" s="11">
        <f t="shared" si="4"/>
        <v>53129.498600000021</v>
      </c>
      <c r="M45" s="155">
        <v>351.91199999999998</v>
      </c>
      <c r="N45" s="11">
        <f t="shared" si="2"/>
        <v>499902.71455478668</v>
      </c>
      <c r="O45" s="152">
        <f t="shared" si="3"/>
        <v>1.0905665427624585E-2</v>
      </c>
      <c r="P45" s="136"/>
    </row>
    <row r="46" spans="1:32" x14ac:dyDescent="0.2">
      <c r="A46" s="341">
        <v>37473</v>
      </c>
      <c r="B46" s="342">
        <v>45311412</v>
      </c>
      <c r="C46" s="146">
        <v>22</v>
      </c>
      <c r="D46" s="146">
        <v>62.6</v>
      </c>
      <c r="E46" s="342">
        <v>31</v>
      </c>
      <c r="F46" s="342">
        <v>0</v>
      </c>
      <c r="G46" s="342">
        <v>0</v>
      </c>
      <c r="H46" s="342">
        <v>0</v>
      </c>
      <c r="I46" s="383">
        <v>268.5</v>
      </c>
      <c r="J46" s="342">
        <f t="shared" si="0"/>
        <v>45684540.102875546</v>
      </c>
      <c r="K46" s="28">
        <v>123.9517307370289</v>
      </c>
      <c r="L46" s="11">
        <f t="shared" si="4"/>
        <v>53149.415300000022</v>
      </c>
      <c r="M46" s="155">
        <v>336.28800000000001</v>
      </c>
      <c r="N46" s="11">
        <f t="shared" si="2"/>
        <v>373128.10287554562</v>
      </c>
      <c r="O46" s="152">
        <f t="shared" si="3"/>
        <v>8.2347489607153632E-3</v>
      </c>
      <c r="P46" s="136"/>
    </row>
    <row r="47" spans="1:32" x14ac:dyDescent="0.2">
      <c r="A47" s="341">
        <v>37506</v>
      </c>
      <c r="B47" s="342">
        <v>42710904</v>
      </c>
      <c r="C47" s="146">
        <v>89.1</v>
      </c>
      <c r="D47" s="146">
        <v>30.2</v>
      </c>
      <c r="E47" s="342">
        <v>30</v>
      </c>
      <c r="F47" s="342">
        <v>1</v>
      </c>
      <c r="G47" s="342">
        <v>0</v>
      </c>
      <c r="H47" s="342">
        <v>0</v>
      </c>
      <c r="I47" s="383">
        <v>266.39999999999998</v>
      </c>
      <c r="J47" s="342">
        <f t="shared" si="0"/>
        <v>41680275.346322164</v>
      </c>
      <c r="K47" s="28">
        <v>124.26747786309649</v>
      </c>
      <c r="L47" s="11">
        <f t="shared" si="4"/>
        <v>53169.332000000024</v>
      </c>
      <c r="M47" s="155">
        <v>319.68</v>
      </c>
      <c r="N47" s="11">
        <f t="shared" si="2"/>
        <v>-1030628.6536778361</v>
      </c>
      <c r="O47" s="152">
        <f t="shared" si="3"/>
        <v>2.4130340431985146E-2</v>
      </c>
      <c r="P47" s="136"/>
    </row>
    <row r="48" spans="1:32" x14ac:dyDescent="0.2">
      <c r="A48" s="341">
        <v>37539</v>
      </c>
      <c r="B48" s="342">
        <v>46917981</v>
      </c>
      <c r="C48" s="146">
        <v>438.3</v>
      </c>
      <c r="D48" s="146">
        <v>2.2000000000000002</v>
      </c>
      <c r="E48" s="342">
        <v>31</v>
      </c>
      <c r="F48" s="342">
        <v>1</v>
      </c>
      <c r="G48" s="342">
        <v>0</v>
      </c>
      <c r="H48" s="342">
        <v>0</v>
      </c>
      <c r="I48" s="383">
        <v>261.7</v>
      </c>
      <c r="J48" s="342">
        <f t="shared" si="0"/>
        <v>49101131.013788596</v>
      </c>
      <c r="K48" s="28">
        <v>124.58402930425534</v>
      </c>
      <c r="L48" s="11">
        <f t="shared" si="4"/>
        <v>53189.248700000026</v>
      </c>
      <c r="M48" s="155">
        <v>351.91199999999998</v>
      </c>
      <c r="N48" s="11">
        <f t="shared" si="2"/>
        <v>2183150.0137885958</v>
      </c>
      <c r="O48" s="152">
        <f t="shared" si="3"/>
        <v>4.6531201199569855E-2</v>
      </c>
      <c r="P48" s="136"/>
    </row>
    <row r="49" spans="1:29" x14ac:dyDescent="0.2">
      <c r="A49" s="341">
        <v>37572</v>
      </c>
      <c r="B49" s="342">
        <v>51516609</v>
      </c>
      <c r="C49" s="146">
        <v>627.70000000000005</v>
      </c>
      <c r="D49" s="146">
        <v>0</v>
      </c>
      <c r="E49" s="342">
        <v>30</v>
      </c>
      <c r="F49" s="342">
        <v>1</v>
      </c>
      <c r="G49" s="342">
        <v>0</v>
      </c>
      <c r="H49" s="342">
        <v>0</v>
      </c>
      <c r="I49" s="383">
        <v>255.1</v>
      </c>
      <c r="J49" s="342">
        <f t="shared" si="0"/>
        <v>52252889.471250422</v>
      </c>
      <c r="K49" s="28">
        <v>124.90138710936897</v>
      </c>
      <c r="L49" s="11">
        <f t="shared" si="4"/>
        <v>53209.165400000027</v>
      </c>
      <c r="M49" s="155">
        <v>336.24</v>
      </c>
      <c r="N49" s="11">
        <f t="shared" si="2"/>
        <v>736280.4712504223</v>
      </c>
      <c r="O49" s="152">
        <f t="shared" si="3"/>
        <v>1.4292098908342789E-2</v>
      </c>
      <c r="P49" s="136"/>
    </row>
    <row r="50" spans="1:29" x14ac:dyDescent="0.2">
      <c r="A50" s="341">
        <v>37605</v>
      </c>
      <c r="B50" s="342">
        <v>57947130</v>
      </c>
      <c r="C50" s="146">
        <v>771.5</v>
      </c>
      <c r="D50" s="146">
        <v>0</v>
      </c>
      <c r="E50" s="342">
        <v>31</v>
      </c>
      <c r="F50" s="342">
        <v>0</v>
      </c>
      <c r="G50" s="342">
        <v>0</v>
      </c>
      <c r="H50" s="342">
        <v>0</v>
      </c>
      <c r="I50" s="383">
        <v>253.7</v>
      </c>
      <c r="J50" s="342">
        <f t="shared" si="0"/>
        <v>58753673.409391239</v>
      </c>
      <c r="K50" s="28">
        <v>125.21955333251999</v>
      </c>
      <c r="L50" s="11">
        <f t="shared" si="4"/>
        <v>53229.082100000029</v>
      </c>
      <c r="M50" s="155">
        <v>319.92</v>
      </c>
      <c r="N50" s="11">
        <f t="shared" si="2"/>
        <v>806543.40939123929</v>
      </c>
      <c r="O50" s="152">
        <f t="shared" si="3"/>
        <v>1.3918608383042253E-2</v>
      </c>
      <c r="P50" s="136"/>
    </row>
    <row r="51" spans="1:29" x14ac:dyDescent="0.2">
      <c r="A51" s="341">
        <v>37622</v>
      </c>
      <c r="B51" s="342">
        <v>65599527</v>
      </c>
      <c r="C51" s="146">
        <v>1040.4000000000001</v>
      </c>
      <c r="D51" s="146">
        <v>0</v>
      </c>
      <c r="E51" s="342">
        <v>31</v>
      </c>
      <c r="F51" s="342">
        <v>0</v>
      </c>
      <c r="G51" s="342">
        <v>0</v>
      </c>
      <c r="H51" s="342">
        <v>0</v>
      </c>
      <c r="I51" s="383">
        <v>250.3</v>
      </c>
      <c r="J51" s="342">
        <f t="shared" si="0"/>
        <v>65354522.249019504</v>
      </c>
      <c r="K51" s="28">
        <v>125.36471370384297</v>
      </c>
      <c r="L51" s="11">
        <f t="shared" si="4"/>
        <v>53248.99880000003</v>
      </c>
      <c r="M51" s="155">
        <v>351.91199999999998</v>
      </c>
      <c r="N51" s="11">
        <f t="shared" si="2"/>
        <v>-245004.75098049641</v>
      </c>
      <c r="O51" s="152">
        <f t="shared" si="3"/>
        <v>3.7348554507183628E-3</v>
      </c>
      <c r="P51" s="136"/>
      <c r="X51" s="138"/>
      <c r="Y51" s="138"/>
      <c r="Z51" s="138"/>
    </row>
    <row r="52" spans="1:29" x14ac:dyDescent="0.2">
      <c r="A52" s="341">
        <v>37653</v>
      </c>
      <c r="B52" s="342">
        <v>58805484</v>
      </c>
      <c r="C52" s="146">
        <v>908.9</v>
      </c>
      <c r="D52" s="146">
        <v>0</v>
      </c>
      <c r="E52" s="342">
        <v>28</v>
      </c>
      <c r="F52" s="342">
        <v>0</v>
      </c>
      <c r="G52" s="342">
        <v>0</v>
      </c>
      <c r="H52" s="342">
        <v>0</v>
      </c>
      <c r="I52" s="383">
        <v>248.8</v>
      </c>
      <c r="J52" s="342">
        <f t="shared" si="0"/>
        <v>58555317.544003323</v>
      </c>
      <c r="K52" s="28">
        <v>125.51004235186747</v>
      </c>
      <c r="L52" s="11">
        <f t="shared" si="4"/>
        <v>53268.915500000032</v>
      </c>
      <c r="M52" s="155">
        <v>319.87200000000001</v>
      </c>
      <c r="N52" s="11">
        <f t="shared" si="2"/>
        <v>-250166.45599667728</v>
      </c>
      <c r="O52" s="152">
        <f t="shared" si="3"/>
        <v>4.2541348013848046E-3</v>
      </c>
      <c r="P52" s="136"/>
    </row>
    <row r="53" spans="1:29" x14ac:dyDescent="0.2">
      <c r="A53" s="341">
        <v>37681</v>
      </c>
      <c r="B53" s="342">
        <v>56511633</v>
      </c>
      <c r="C53" s="146">
        <v>732.2</v>
      </c>
      <c r="D53" s="146">
        <v>0</v>
      </c>
      <c r="E53" s="342">
        <v>31</v>
      </c>
      <c r="F53" s="342">
        <v>1</v>
      </c>
      <c r="G53" s="342">
        <v>0</v>
      </c>
      <c r="H53" s="342">
        <v>0</v>
      </c>
      <c r="I53" s="383">
        <v>249.9</v>
      </c>
      <c r="J53" s="342">
        <f t="shared" si="0"/>
        <v>55809013.478069372</v>
      </c>
      <c r="K53" s="28">
        <v>125.65553947166775</v>
      </c>
      <c r="L53" s="11">
        <f t="shared" si="4"/>
        <v>53288.832200000033</v>
      </c>
      <c r="M53" s="155">
        <v>336.28800000000001</v>
      </c>
      <c r="N53" s="11">
        <f t="shared" si="2"/>
        <v>-702619.52193062752</v>
      </c>
      <c r="O53" s="152">
        <f t="shared" si="3"/>
        <v>1.2433183835452562E-2</v>
      </c>
      <c r="P53" s="136"/>
    </row>
    <row r="54" spans="1:29" x14ac:dyDescent="0.2">
      <c r="A54" s="341">
        <v>37712</v>
      </c>
      <c r="B54" s="342">
        <v>48410985</v>
      </c>
      <c r="C54" s="146">
        <v>513.9</v>
      </c>
      <c r="D54" s="146">
        <v>0</v>
      </c>
      <c r="E54" s="342">
        <v>30</v>
      </c>
      <c r="F54" s="342">
        <v>1</v>
      </c>
      <c r="G54" s="342">
        <v>0</v>
      </c>
      <c r="H54" s="342">
        <v>0</v>
      </c>
      <c r="I54" s="383">
        <v>251.4</v>
      </c>
      <c r="J54" s="342">
        <f t="shared" si="0"/>
        <v>49251544.396074623</v>
      </c>
      <c r="K54" s="28">
        <v>125.80120525854417</v>
      </c>
      <c r="L54" s="11">
        <f t="shared" si="4"/>
        <v>53308.748900000035</v>
      </c>
      <c r="M54" s="155">
        <v>336.24</v>
      </c>
      <c r="N54" s="11">
        <f t="shared" si="2"/>
        <v>840559.39607462287</v>
      </c>
      <c r="O54" s="152">
        <f t="shared" si="3"/>
        <v>1.7362988918209841E-2</v>
      </c>
      <c r="P54" s="136"/>
    </row>
    <row r="55" spans="1:29" x14ac:dyDescent="0.2">
      <c r="A55" s="341">
        <v>37742</v>
      </c>
      <c r="B55" s="342">
        <v>42511005</v>
      </c>
      <c r="C55" s="146">
        <v>208.3</v>
      </c>
      <c r="D55" s="146">
        <v>0.7</v>
      </c>
      <c r="E55" s="342">
        <v>31</v>
      </c>
      <c r="F55" s="342">
        <v>1</v>
      </c>
      <c r="G55" s="342">
        <v>0</v>
      </c>
      <c r="H55" s="342">
        <v>0</v>
      </c>
      <c r="I55" s="383">
        <v>255.5</v>
      </c>
      <c r="J55" s="342">
        <f t="shared" si="0"/>
        <v>42964289.949732691</v>
      </c>
      <c r="K55" s="28">
        <v>125.94703990802351</v>
      </c>
      <c r="L55" s="11">
        <f t="shared" si="4"/>
        <v>53328.665600000037</v>
      </c>
      <c r="M55" s="155">
        <v>336.28800000000001</v>
      </c>
      <c r="N55" s="11">
        <f t="shared" si="2"/>
        <v>453284.94973269105</v>
      </c>
      <c r="O55" s="152">
        <f t="shared" si="3"/>
        <v>1.0662767199521419E-2</v>
      </c>
      <c r="P55" s="136"/>
    </row>
    <row r="56" spans="1:29" x14ac:dyDescent="0.2">
      <c r="A56" s="341">
        <v>37773</v>
      </c>
      <c r="B56" s="342">
        <v>41668530</v>
      </c>
      <c r="C56" s="146">
        <v>64.5</v>
      </c>
      <c r="D56" s="146">
        <v>27.4</v>
      </c>
      <c r="E56" s="342">
        <v>30</v>
      </c>
      <c r="F56" s="342">
        <v>0</v>
      </c>
      <c r="G56" s="342">
        <v>0</v>
      </c>
      <c r="H56" s="342">
        <v>0</v>
      </c>
      <c r="I56" s="383">
        <v>258.10000000000002</v>
      </c>
      <c r="J56" s="342">
        <f t="shared" si="0"/>
        <v>42305575.712271027</v>
      </c>
      <c r="K56" s="28">
        <v>126.0930436158592</v>
      </c>
      <c r="L56" s="11">
        <f t="shared" si="4"/>
        <v>53348.582300000038</v>
      </c>
      <c r="M56" s="155">
        <v>336.24</v>
      </c>
      <c r="N56" s="11">
        <f t="shared" si="2"/>
        <v>637045.71227102727</v>
      </c>
      <c r="O56" s="152">
        <f t="shared" si="3"/>
        <v>1.5288413396657556E-2</v>
      </c>
    </row>
    <row r="57" spans="1:29" x14ac:dyDescent="0.2">
      <c r="A57" s="341">
        <v>37803</v>
      </c>
      <c r="B57" s="342">
        <v>44043534</v>
      </c>
      <c r="C57" s="146">
        <v>16.100000000000001</v>
      </c>
      <c r="D57" s="146">
        <v>37.4</v>
      </c>
      <c r="E57" s="342">
        <v>31</v>
      </c>
      <c r="F57" s="342">
        <v>0</v>
      </c>
      <c r="G57" s="342">
        <v>0</v>
      </c>
      <c r="H57" s="342">
        <v>0</v>
      </c>
      <c r="I57" s="383">
        <v>259.2</v>
      </c>
      <c r="J57" s="342">
        <f t="shared" si="0"/>
        <v>43101905.87195491</v>
      </c>
      <c r="K57" s="28">
        <v>126.23921657803162</v>
      </c>
      <c r="L57" s="11">
        <f t="shared" si="4"/>
        <v>53368.49900000004</v>
      </c>
      <c r="M57" s="155">
        <v>351.91199999999998</v>
      </c>
      <c r="N57" s="11">
        <f t="shared" si="2"/>
        <v>-941628.12804508954</v>
      </c>
      <c r="O57" s="152">
        <f t="shared" si="3"/>
        <v>2.1379486215731224E-2</v>
      </c>
    </row>
    <row r="58" spans="1:29" x14ac:dyDescent="0.2">
      <c r="A58" s="341">
        <v>37834</v>
      </c>
      <c r="B58" s="342">
        <v>42064341</v>
      </c>
      <c r="C58" s="146">
        <v>32.9</v>
      </c>
      <c r="D58" s="146">
        <v>60.7</v>
      </c>
      <c r="E58" s="342">
        <v>31</v>
      </c>
      <c r="F58" s="342">
        <v>0</v>
      </c>
      <c r="G58" s="342">
        <v>0</v>
      </c>
      <c r="H58" s="342">
        <v>1</v>
      </c>
      <c r="I58" s="383">
        <v>258.2</v>
      </c>
      <c r="J58" s="342">
        <f t="shared" si="0"/>
        <v>42064341.000000015</v>
      </c>
      <c r="K58" s="28">
        <v>126.38555899074831</v>
      </c>
      <c r="L58" s="11">
        <f t="shared" si="4"/>
        <v>53388.415700000041</v>
      </c>
      <c r="M58" s="155">
        <v>319.92</v>
      </c>
      <c r="N58" s="11">
        <f t="shared" si="2"/>
        <v>0</v>
      </c>
      <c r="O58" s="152">
        <f t="shared" si="3"/>
        <v>0</v>
      </c>
    </row>
    <row r="59" spans="1:29" x14ac:dyDescent="0.2">
      <c r="A59" s="341">
        <v>37865</v>
      </c>
      <c r="B59" s="342">
        <v>41000127</v>
      </c>
      <c r="C59" s="146">
        <v>111.8</v>
      </c>
      <c r="D59" s="146">
        <v>9.1</v>
      </c>
      <c r="E59" s="342">
        <v>30</v>
      </c>
      <c r="F59" s="342">
        <v>1</v>
      </c>
      <c r="G59" s="342">
        <v>0</v>
      </c>
      <c r="H59" s="342">
        <v>0</v>
      </c>
      <c r="I59" s="383">
        <v>254.5</v>
      </c>
      <c r="J59" s="342">
        <f t="shared" si="0"/>
        <v>40044120.314847097</v>
      </c>
      <c r="K59" s="28">
        <v>126.53207105044429</v>
      </c>
      <c r="L59" s="11">
        <f t="shared" si="4"/>
        <v>53408.332400000043</v>
      </c>
      <c r="M59" s="155">
        <v>336.24</v>
      </c>
      <c r="N59" s="11">
        <f t="shared" si="2"/>
        <v>-956006.6851529032</v>
      </c>
      <c r="O59" s="152">
        <f t="shared" si="3"/>
        <v>2.3317163996904283E-2</v>
      </c>
    </row>
    <row r="60" spans="1:29" x14ac:dyDescent="0.2">
      <c r="A60" s="341">
        <v>37895</v>
      </c>
      <c r="B60" s="342">
        <v>46214952</v>
      </c>
      <c r="C60" s="146">
        <v>376.6</v>
      </c>
      <c r="D60" s="146">
        <v>0.4</v>
      </c>
      <c r="E60" s="342">
        <v>31</v>
      </c>
      <c r="F60" s="342">
        <v>1</v>
      </c>
      <c r="G60" s="342">
        <v>0</v>
      </c>
      <c r="H60" s="342">
        <v>0</v>
      </c>
      <c r="I60" s="383">
        <v>255.2</v>
      </c>
      <c r="J60" s="342">
        <f t="shared" si="0"/>
        <v>47145071.02179572</v>
      </c>
      <c r="K60" s="28">
        <v>126.67875295378228</v>
      </c>
      <c r="L60" s="11">
        <f t="shared" ref="L60:L91" si="6">L59+19.9167</f>
        <v>53428.249100000045</v>
      </c>
      <c r="M60" s="155">
        <v>351.91199999999998</v>
      </c>
      <c r="N60" s="11">
        <f t="shared" si="2"/>
        <v>930119.02179571986</v>
      </c>
      <c r="O60" s="152">
        <f t="shared" si="3"/>
        <v>2.0125932875484105E-2</v>
      </c>
    </row>
    <row r="61" spans="1:29" x14ac:dyDescent="0.2">
      <c r="A61" s="341">
        <v>37926</v>
      </c>
      <c r="B61" s="342">
        <v>49785980</v>
      </c>
      <c r="C61" s="146">
        <v>523.70000000000005</v>
      </c>
      <c r="D61" s="146">
        <v>0</v>
      </c>
      <c r="E61" s="342">
        <v>30</v>
      </c>
      <c r="F61" s="342">
        <v>1</v>
      </c>
      <c r="G61" s="342">
        <v>0</v>
      </c>
      <c r="H61" s="342">
        <v>0</v>
      </c>
      <c r="I61" s="383">
        <v>254.1</v>
      </c>
      <c r="J61" s="342">
        <f t="shared" si="0"/>
        <v>49606316.149373092</v>
      </c>
      <c r="K61" s="28">
        <v>126.82560489765298</v>
      </c>
      <c r="L61" s="11">
        <f t="shared" si="6"/>
        <v>53448.165800000046</v>
      </c>
      <c r="M61" s="155">
        <v>319.68</v>
      </c>
      <c r="N61" s="11">
        <f t="shared" si="2"/>
        <v>-179663.85062690824</v>
      </c>
      <c r="O61" s="152">
        <f t="shared" si="3"/>
        <v>3.6087237938654264E-3</v>
      </c>
    </row>
    <row r="62" spans="1:29" x14ac:dyDescent="0.2">
      <c r="A62" s="341">
        <v>37956</v>
      </c>
      <c r="B62" s="342">
        <v>58014310</v>
      </c>
      <c r="C62" s="146">
        <v>762.2</v>
      </c>
      <c r="D62" s="146">
        <v>0</v>
      </c>
      <c r="E62" s="342">
        <v>31</v>
      </c>
      <c r="F62" s="342">
        <v>0</v>
      </c>
      <c r="G62" s="342">
        <v>0</v>
      </c>
      <c r="H62" s="342">
        <v>0</v>
      </c>
      <c r="I62" s="383">
        <v>255.8</v>
      </c>
      <c r="J62" s="342">
        <f t="shared" si="0"/>
        <v>58605553.826917008</v>
      </c>
      <c r="K62" s="28">
        <v>126.97262707917527</v>
      </c>
      <c r="L62" s="11">
        <f t="shared" si="6"/>
        <v>53468.082500000048</v>
      </c>
      <c r="M62" s="155">
        <v>336.28800000000001</v>
      </c>
      <c r="N62" s="11">
        <f t="shared" si="2"/>
        <v>591243.82691700757</v>
      </c>
      <c r="O62" s="152">
        <f t="shared" si="3"/>
        <v>1.0191344634056796E-2</v>
      </c>
      <c r="P62" s="140"/>
      <c r="Q62" s="140"/>
      <c r="R62" s="140"/>
      <c r="S62" s="140"/>
      <c r="T62" s="140"/>
      <c r="U62" s="140"/>
      <c r="V62" s="140"/>
      <c r="W62" s="140"/>
      <c r="X62" s="141"/>
      <c r="Y62" s="141"/>
      <c r="Z62" s="141"/>
      <c r="AA62" s="141"/>
      <c r="AB62" s="141"/>
      <c r="AC62" s="141"/>
    </row>
    <row r="63" spans="1:29" x14ac:dyDescent="0.2">
      <c r="A63" s="341">
        <v>37987</v>
      </c>
      <c r="B63" s="342">
        <v>69057020</v>
      </c>
      <c r="C63" s="146">
        <v>1121.5999999999999</v>
      </c>
      <c r="D63" s="146">
        <v>0</v>
      </c>
      <c r="E63" s="342">
        <v>31</v>
      </c>
      <c r="F63" s="342">
        <v>0</v>
      </c>
      <c r="G63" s="342">
        <v>0</v>
      </c>
      <c r="H63" s="342">
        <v>0</v>
      </c>
      <c r="I63" s="383">
        <v>254.7</v>
      </c>
      <c r="J63" s="342">
        <f t="shared" si="0"/>
        <v>67567255.021678463</v>
      </c>
      <c r="K63" s="28">
        <v>127.24450952057283</v>
      </c>
      <c r="L63" s="11">
        <f>L62+19.9167</f>
        <v>53487.999200000049</v>
      </c>
      <c r="M63" s="155">
        <v>336.28800000000001</v>
      </c>
      <c r="N63" s="11">
        <f t="shared" si="2"/>
        <v>-1489764.9783215374</v>
      </c>
      <c r="O63" s="152">
        <f t="shared" si="3"/>
        <v>2.1572969385611158E-2</v>
      </c>
      <c r="P63" s="140"/>
      <c r="Q63" s="140"/>
      <c r="R63" s="140"/>
      <c r="S63" s="140"/>
      <c r="T63" s="140"/>
      <c r="U63" s="140"/>
      <c r="V63" s="140"/>
      <c r="W63" s="140"/>
      <c r="X63" s="142"/>
      <c r="Y63" s="142"/>
      <c r="Z63" s="142"/>
      <c r="AA63" s="141"/>
      <c r="AB63" s="141"/>
      <c r="AC63" s="141"/>
    </row>
    <row r="64" spans="1:29" x14ac:dyDescent="0.2">
      <c r="A64" s="341">
        <v>38018</v>
      </c>
      <c r="B64" s="342">
        <v>59735330</v>
      </c>
      <c r="C64" s="146">
        <v>780.5</v>
      </c>
      <c r="D64" s="146">
        <v>0</v>
      </c>
      <c r="E64" s="342">
        <v>29</v>
      </c>
      <c r="F64" s="342">
        <v>0</v>
      </c>
      <c r="G64" s="342">
        <v>0</v>
      </c>
      <c r="H64" s="342">
        <v>0</v>
      </c>
      <c r="I64" s="383">
        <v>254.4</v>
      </c>
      <c r="J64" s="342">
        <f t="shared" si="0"/>
        <v>56711987.500137486</v>
      </c>
      <c r="K64" s="28">
        <v>127.5169741351808</v>
      </c>
      <c r="L64" s="11">
        <f t="shared" si="6"/>
        <v>53507.915900000051</v>
      </c>
      <c r="M64" s="155">
        <v>320.16000000000003</v>
      </c>
      <c r="N64" s="11">
        <f t="shared" si="2"/>
        <v>-3023342.4998625144</v>
      </c>
      <c r="O64" s="152">
        <f t="shared" si="3"/>
        <v>5.061230095929016E-2</v>
      </c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141"/>
      <c r="AA64" s="141"/>
      <c r="AB64" s="141"/>
      <c r="AC64" s="141"/>
    </row>
    <row r="65" spans="1:29" x14ac:dyDescent="0.2">
      <c r="A65" s="341">
        <v>38047</v>
      </c>
      <c r="B65" s="342">
        <v>54100800</v>
      </c>
      <c r="C65" s="146">
        <v>647.1</v>
      </c>
      <c r="D65" s="146">
        <v>0</v>
      </c>
      <c r="E65" s="342">
        <v>31</v>
      </c>
      <c r="F65" s="342">
        <v>1</v>
      </c>
      <c r="G65" s="342">
        <v>0</v>
      </c>
      <c r="H65" s="342">
        <v>0</v>
      </c>
      <c r="I65" s="383">
        <v>252.8</v>
      </c>
      <c r="J65" s="342">
        <f t="shared" si="0"/>
        <v>53793779.053807408</v>
      </c>
      <c r="K65" s="28">
        <v>127.79002216958813</v>
      </c>
      <c r="L65" s="11">
        <f t="shared" si="6"/>
        <v>53527.832600000052</v>
      </c>
      <c r="M65" s="155">
        <v>368.28</v>
      </c>
      <c r="N65" s="11">
        <f t="shared" si="2"/>
        <v>-307020.94619259238</v>
      </c>
      <c r="O65" s="152">
        <f t="shared" si="3"/>
        <v>5.6749797820474443E-3</v>
      </c>
      <c r="P65" s="47"/>
      <c r="Q65" s="47"/>
      <c r="R65" s="140"/>
      <c r="S65" s="140"/>
      <c r="T65" s="140"/>
      <c r="U65" s="140"/>
      <c r="V65" s="140"/>
      <c r="W65" s="140"/>
      <c r="X65" s="141"/>
      <c r="Y65" s="141"/>
      <c r="Z65" s="141"/>
      <c r="AA65" s="141"/>
      <c r="AB65" s="141"/>
      <c r="AC65" s="141"/>
    </row>
    <row r="66" spans="1:29" x14ac:dyDescent="0.2">
      <c r="A66" s="341">
        <v>38078</v>
      </c>
      <c r="B66" s="342">
        <v>46868660</v>
      </c>
      <c r="C66" s="146">
        <v>454.7</v>
      </c>
      <c r="D66" s="146">
        <v>0</v>
      </c>
      <c r="E66" s="342">
        <v>30</v>
      </c>
      <c r="F66" s="342">
        <v>1</v>
      </c>
      <c r="G66" s="342">
        <v>0</v>
      </c>
      <c r="H66" s="342">
        <v>0</v>
      </c>
      <c r="I66" s="383">
        <v>251.6</v>
      </c>
      <c r="J66" s="342">
        <f t="shared" si="0"/>
        <v>47776142.834392428</v>
      </c>
      <c r="K66" s="28">
        <v>128.06365487305305</v>
      </c>
      <c r="L66" s="11">
        <f t="shared" si="6"/>
        <v>53547.749300000054</v>
      </c>
      <c r="M66" s="155">
        <v>336.24</v>
      </c>
      <c r="N66" s="11">
        <f t="shared" si="2"/>
        <v>907482.8343924284</v>
      </c>
      <c r="O66" s="152">
        <f t="shared" si="3"/>
        <v>1.9362252609578093E-2</v>
      </c>
      <c r="P66" s="29"/>
      <c r="Q66" s="29"/>
      <c r="R66" s="140"/>
      <c r="S66" s="140"/>
      <c r="T66" s="140"/>
      <c r="U66" s="140"/>
      <c r="V66" s="140"/>
      <c r="W66" s="140"/>
      <c r="X66" s="141"/>
      <c r="Y66" s="141"/>
      <c r="Z66" s="141"/>
      <c r="AA66" s="141"/>
      <c r="AB66" s="141"/>
      <c r="AC66" s="141"/>
    </row>
    <row r="67" spans="1:29" x14ac:dyDescent="0.2">
      <c r="A67" s="341">
        <v>38108</v>
      </c>
      <c r="B67" s="342">
        <v>43342330</v>
      </c>
      <c r="C67" s="146">
        <v>257.5</v>
      </c>
      <c r="D67" s="146">
        <v>4.0999999999999996</v>
      </c>
      <c r="E67" s="342">
        <v>31</v>
      </c>
      <c r="F67" s="342">
        <v>1</v>
      </c>
      <c r="G67" s="342">
        <v>0</v>
      </c>
      <c r="H67" s="342">
        <v>0</v>
      </c>
      <c r="I67" s="383">
        <v>252.5</v>
      </c>
      <c r="J67" s="342">
        <f t="shared" si="0"/>
        <v>44353621.305941969</v>
      </c>
      <c r="K67" s="28">
        <v>128.33787349750878</v>
      </c>
      <c r="L67" s="11">
        <f t="shared" si="6"/>
        <v>53567.666000000056</v>
      </c>
      <c r="M67" s="155">
        <v>319.92</v>
      </c>
      <c r="N67" s="11">
        <f t="shared" si="2"/>
        <v>1011291.3059419692</v>
      </c>
      <c r="O67" s="152">
        <f t="shared" si="3"/>
        <v>2.3332647459007608E-2</v>
      </c>
      <c r="P67" s="29"/>
      <c r="Q67" s="29"/>
      <c r="R67" s="140"/>
      <c r="S67" s="140"/>
      <c r="T67" s="140"/>
      <c r="U67" s="140"/>
      <c r="V67" s="140"/>
      <c r="W67" s="140"/>
      <c r="X67" s="141"/>
      <c r="Y67" s="141"/>
      <c r="Z67" s="141"/>
      <c r="AA67" s="141"/>
      <c r="AB67" s="141"/>
      <c r="AC67" s="141"/>
    </row>
    <row r="68" spans="1:29" x14ac:dyDescent="0.2">
      <c r="A68" s="341">
        <v>38139</v>
      </c>
      <c r="B68" s="342">
        <v>41064550</v>
      </c>
      <c r="C68" s="146">
        <v>104</v>
      </c>
      <c r="D68" s="146">
        <v>7.7</v>
      </c>
      <c r="E68" s="342">
        <v>30</v>
      </c>
      <c r="F68" s="342">
        <v>0</v>
      </c>
      <c r="G68" s="342">
        <v>0</v>
      </c>
      <c r="H68" s="342">
        <v>0</v>
      </c>
      <c r="I68" s="383">
        <v>257.2</v>
      </c>
      <c r="J68" s="342">
        <f t="shared" ref="J68:J131" si="7">$Q$19+C68*$Q$20+D68*$Q$21+E68*$Q$22+F68*$Q$23+G68*$Q$24+H68*$Q$25+I68*$Q$26</f>
        <v>41649646.356784523</v>
      </c>
      <c r="K68" s="28">
        <v>128.61267929756926</v>
      </c>
      <c r="L68" s="11">
        <f t="shared" si="6"/>
        <v>53587.582700000057</v>
      </c>
      <c r="M68" s="155">
        <v>352.08</v>
      </c>
      <c r="N68" s="11">
        <f t="shared" ref="N68:N131" si="8">J68-B68</f>
        <v>585096.35678452253</v>
      </c>
      <c r="O68" s="152">
        <f t="shared" ref="O68:O131" si="9">ABS(N68/B68)</f>
        <v>1.4248210604633986E-2</v>
      </c>
      <c r="P68" s="29"/>
      <c r="Q68" s="29"/>
      <c r="R68" s="140"/>
      <c r="S68" s="140"/>
      <c r="T68" s="140"/>
      <c r="U68" s="140"/>
      <c r="V68" s="140"/>
      <c r="W68" s="140"/>
      <c r="X68" s="141"/>
      <c r="Y68" s="141"/>
      <c r="Z68" s="141"/>
      <c r="AA68" s="141"/>
      <c r="AB68" s="141"/>
      <c r="AC68" s="141"/>
    </row>
    <row r="69" spans="1:29" x14ac:dyDescent="0.2">
      <c r="A69" s="341">
        <v>38169</v>
      </c>
      <c r="B69" s="342">
        <v>43951680</v>
      </c>
      <c r="C69" s="146">
        <v>25.1</v>
      </c>
      <c r="D69" s="146">
        <v>41</v>
      </c>
      <c r="E69" s="342">
        <v>31</v>
      </c>
      <c r="F69" s="342">
        <v>0</v>
      </c>
      <c r="G69" s="342">
        <v>0</v>
      </c>
      <c r="H69" s="342">
        <v>0</v>
      </c>
      <c r="I69" s="383">
        <v>262</v>
      </c>
      <c r="J69" s="342">
        <f t="shared" si="7"/>
        <v>43734770.92705401</v>
      </c>
      <c r="K69" s="28">
        <v>128.88807353053494</v>
      </c>
      <c r="L69" s="11">
        <f t="shared" si="6"/>
        <v>53607.499400000059</v>
      </c>
      <c r="M69" s="155">
        <v>336.28800000000001</v>
      </c>
      <c r="N69" s="11">
        <f t="shared" si="8"/>
        <v>-216909.07294598967</v>
      </c>
      <c r="O69" s="152">
        <f t="shared" si="9"/>
        <v>4.9351713733352095E-3</v>
      </c>
      <c r="P69" s="29"/>
      <c r="Q69" s="29"/>
      <c r="R69" s="140"/>
      <c r="S69" s="140"/>
      <c r="T69" s="140"/>
      <c r="U69" s="140"/>
      <c r="V69" s="140"/>
      <c r="W69" s="140"/>
      <c r="X69" s="141"/>
      <c r="Y69" s="141"/>
      <c r="Z69" s="141"/>
      <c r="AA69" s="141"/>
      <c r="AB69" s="141"/>
      <c r="AC69" s="141"/>
    </row>
    <row r="70" spans="1:29" x14ac:dyDescent="0.2">
      <c r="A70" s="341">
        <v>38200</v>
      </c>
      <c r="B70" s="342">
        <v>42933280</v>
      </c>
      <c r="C70" s="146">
        <v>75.599999999999994</v>
      </c>
      <c r="D70" s="146">
        <v>20.5</v>
      </c>
      <c r="E70" s="342">
        <v>31</v>
      </c>
      <c r="F70" s="342">
        <v>0</v>
      </c>
      <c r="G70" s="342">
        <v>0</v>
      </c>
      <c r="H70" s="342">
        <v>0</v>
      </c>
      <c r="I70" s="383">
        <v>263.2</v>
      </c>
      <c r="J70" s="342">
        <f t="shared" si="7"/>
        <v>43374064.011175193</v>
      </c>
      <c r="K70" s="28">
        <v>129.16405745639844</v>
      </c>
      <c r="L70" s="11">
        <f t="shared" si="6"/>
        <v>53627.41610000006</v>
      </c>
      <c r="M70" s="155">
        <v>336.28800000000001</v>
      </c>
      <c r="N70" s="11">
        <f t="shared" si="8"/>
        <v>440784.01117519289</v>
      </c>
      <c r="O70" s="152">
        <f t="shared" si="9"/>
        <v>1.0266721088516714E-2</v>
      </c>
      <c r="P70" s="29"/>
      <c r="Q70" s="29"/>
      <c r="R70" s="140"/>
      <c r="S70" s="140"/>
      <c r="T70" s="140"/>
      <c r="U70" s="140"/>
      <c r="V70" s="140"/>
      <c r="W70" s="140"/>
      <c r="X70" s="141"/>
      <c r="Y70" s="141"/>
      <c r="Z70" s="141"/>
      <c r="AA70" s="141"/>
      <c r="AB70" s="141"/>
      <c r="AC70" s="141"/>
    </row>
    <row r="71" spans="1:29" x14ac:dyDescent="0.2">
      <c r="A71" s="341">
        <v>38231</v>
      </c>
      <c r="B71" s="342">
        <v>42265810</v>
      </c>
      <c r="C71" s="146">
        <v>103.5</v>
      </c>
      <c r="D71" s="146">
        <v>19.8</v>
      </c>
      <c r="E71" s="342">
        <v>30</v>
      </c>
      <c r="F71" s="342">
        <v>1</v>
      </c>
      <c r="G71" s="342">
        <v>0</v>
      </c>
      <c r="H71" s="342">
        <v>0</v>
      </c>
      <c r="I71" s="383">
        <v>259.60000000000002</v>
      </c>
      <c r="J71" s="342">
        <f t="shared" si="7"/>
        <v>40916505.752953604</v>
      </c>
      <c r="K71" s="28">
        <v>129.44063233785036</v>
      </c>
      <c r="L71" s="11">
        <f t="shared" si="6"/>
        <v>53647.332800000062</v>
      </c>
      <c r="M71" s="155">
        <v>336.24</v>
      </c>
      <c r="N71" s="11">
        <f t="shared" si="8"/>
        <v>-1349304.2470463961</v>
      </c>
      <c r="O71" s="152">
        <f t="shared" si="9"/>
        <v>3.1924249104569299E-2</v>
      </c>
      <c r="P71" s="140"/>
      <c r="Q71" s="140"/>
      <c r="R71" s="140"/>
      <c r="S71" s="140"/>
      <c r="T71" s="140"/>
      <c r="U71" s="140"/>
      <c r="V71" s="140"/>
      <c r="W71" s="140"/>
      <c r="X71" s="141"/>
      <c r="Y71" s="141"/>
      <c r="Z71" s="141"/>
      <c r="AA71" s="141"/>
      <c r="AB71" s="141"/>
      <c r="AC71" s="141"/>
    </row>
    <row r="72" spans="1:29" x14ac:dyDescent="0.2">
      <c r="A72" s="341">
        <v>38261</v>
      </c>
      <c r="B72" s="342">
        <v>45470380</v>
      </c>
      <c r="C72" s="146">
        <v>326.3</v>
      </c>
      <c r="D72" s="146">
        <v>0</v>
      </c>
      <c r="E72" s="342">
        <v>31</v>
      </c>
      <c r="F72" s="342">
        <v>1</v>
      </c>
      <c r="G72" s="342">
        <v>0</v>
      </c>
      <c r="H72" s="342">
        <v>0</v>
      </c>
      <c r="I72" s="383">
        <v>258.7</v>
      </c>
      <c r="J72" s="342">
        <f t="shared" si="7"/>
        <v>45993476.132530145</v>
      </c>
      <c r="K72" s="28">
        <v>129.71779944028509</v>
      </c>
      <c r="L72" s="11">
        <f t="shared" si="6"/>
        <v>53667.249500000064</v>
      </c>
      <c r="M72" s="155">
        <v>319.92</v>
      </c>
      <c r="N72" s="11">
        <f t="shared" si="8"/>
        <v>523096.13253014535</v>
      </c>
      <c r="O72" s="152">
        <f t="shared" si="9"/>
        <v>1.1504107344828552E-2</v>
      </c>
      <c r="P72" s="140"/>
      <c r="Q72" s="140"/>
      <c r="R72" s="140"/>
      <c r="S72" s="140"/>
      <c r="T72" s="140"/>
      <c r="U72" s="140"/>
      <c r="V72" s="140"/>
      <c r="W72" s="140"/>
      <c r="X72" s="141"/>
      <c r="Y72" s="141"/>
      <c r="Z72" s="141"/>
      <c r="AA72" s="141"/>
      <c r="AB72" s="141"/>
      <c r="AC72" s="141"/>
    </row>
    <row r="73" spans="1:29" x14ac:dyDescent="0.2">
      <c r="A73" s="341">
        <v>38292</v>
      </c>
      <c r="B73" s="342">
        <v>50304380</v>
      </c>
      <c r="C73" s="146">
        <v>537.20000000000005</v>
      </c>
      <c r="D73" s="146">
        <v>0</v>
      </c>
      <c r="E73" s="342">
        <v>30</v>
      </c>
      <c r="F73" s="342">
        <v>1</v>
      </c>
      <c r="G73" s="342">
        <v>0</v>
      </c>
      <c r="H73" s="342">
        <v>0</v>
      </c>
      <c r="I73" s="383">
        <v>257.8</v>
      </c>
      <c r="J73" s="342">
        <f t="shared" si="7"/>
        <v>50094248.256129093</v>
      </c>
      <c r="K73" s="28">
        <v>129.99556003180655</v>
      </c>
      <c r="L73" s="11">
        <f t="shared" si="6"/>
        <v>53687.166200000065</v>
      </c>
      <c r="M73" s="155">
        <v>352.08</v>
      </c>
      <c r="N73" s="11">
        <f t="shared" si="8"/>
        <v>-210131.74387090653</v>
      </c>
      <c r="O73" s="152">
        <f t="shared" si="9"/>
        <v>4.1772057198778021E-3</v>
      </c>
      <c r="P73" s="48"/>
      <c r="Q73" s="48"/>
      <c r="R73" s="48"/>
      <c r="S73" s="48"/>
      <c r="T73" s="48"/>
      <c r="U73" s="48"/>
      <c r="V73" s="140"/>
      <c r="W73" s="140"/>
      <c r="X73" s="141"/>
      <c r="Y73" s="141"/>
      <c r="Z73" s="141"/>
      <c r="AA73" s="141"/>
      <c r="AB73" s="141"/>
      <c r="AC73" s="141"/>
    </row>
    <row r="74" spans="1:29" x14ac:dyDescent="0.2">
      <c r="A74" s="341">
        <v>38322</v>
      </c>
      <c r="B74" s="342">
        <v>62662520</v>
      </c>
      <c r="C74" s="146">
        <v>896.5</v>
      </c>
      <c r="D74" s="146">
        <v>0</v>
      </c>
      <c r="E74" s="342">
        <v>31</v>
      </c>
      <c r="F74" s="342">
        <v>0</v>
      </c>
      <c r="G74" s="342">
        <v>0</v>
      </c>
      <c r="H74" s="342">
        <v>0</v>
      </c>
      <c r="I74" s="383">
        <v>260.2</v>
      </c>
      <c r="J74" s="342">
        <f t="shared" si="7"/>
        <v>62148916.994621739</v>
      </c>
      <c r="K74" s="28">
        <v>130.27391538323383</v>
      </c>
      <c r="L74" s="11">
        <f t="shared" si="6"/>
        <v>53707.082900000067</v>
      </c>
      <c r="M74" s="155">
        <v>336.28800000000001</v>
      </c>
      <c r="N74" s="11">
        <f t="shared" si="8"/>
        <v>-513603.00537826121</v>
      </c>
      <c r="O74" s="152">
        <f t="shared" si="9"/>
        <v>8.196334992245145E-3</v>
      </c>
      <c r="P74" s="29"/>
      <c r="Q74" s="29"/>
      <c r="R74" s="29"/>
      <c r="S74" s="29"/>
      <c r="T74" s="29"/>
      <c r="U74" s="29"/>
      <c r="V74" s="140"/>
      <c r="W74" s="140"/>
      <c r="X74" s="141"/>
      <c r="Y74" s="141"/>
      <c r="Z74" s="141"/>
      <c r="AA74" s="141"/>
      <c r="AB74" s="141"/>
      <c r="AC74" s="141"/>
    </row>
    <row r="75" spans="1:29" x14ac:dyDescent="0.2">
      <c r="A75" s="341">
        <v>38353</v>
      </c>
      <c r="B75" s="342">
        <v>66888914.999999993</v>
      </c>
      <c r="C75" s="146">
        <v>1002.3</v>
      </c>
      <c r="D75" s="146">
        <v>0</v>
      </c>
      <c r="E75" s="342">
        <v>31</v>
      </c>
      <c r="F75" s="342">
        <v>0</v>
      </c>
      <c r="G75" s="342">
        <v>0</v>
      </c>
      <c r="H75" s="342">
        <v>0</v>
      </c>
      <c r="I75" s="383">
        <v>257.39999999999998</v>
      </c>
      <c r="J75" s="342">
        <f t="shared" si="7"/>
        <v>64686915.965176366</v>
      </c>
      <c r="K75" s="28">
        <v>130.57405526242641</v>
      </c>
      <c r="L75" s="11">
        <f t="shared" si="6"/>
        <v>53726.999600000068</v>
      </c>
      <c r="M75" s="155">
        <v>319.92</v>
      </c>
      <c r="N75" s="11">
        <f t="shared" si="8"/>
        <v>-2201999.0348236263</v>
      </c>
      <c r="O75" s="152">
        <f t="shared" si="9"/>
        <v>3.2920238500260116E-2</v>
      </c>
      <c r="P75" s="29"/>
      <c r="Q75" s="29"/>
      <c r="R75" s="29"/>
      <c r="S75" s="29"/>
      <c r="T75" s="29"/>
      <c r="U75" s="29"/>
      <c r="V75" s="140"/>
      <c r="W75" s="140"/>
      <c r="X75" s="142"/>
      <c r="Y75" s="142"/>
      <c r="Z75" s="142"/>
      <c r="AA75" s="141"/>
      <c r="AB75" s="141"/>
      <c r="AC75" s="141"/>
    </row>
    <row r="76" spans="1:29" x14ac:dyDescent="0.2">
      <c r="A76" s="341">
        <v>38384</v>
      </c>
      <c r="B76" s="342">
        <v>54935166</v>
      </c>
      <c r="C76" s="146">
        <v>736.3</v>
      </c>
      <c r="D76" s="146">
        <v>0</v>
      </c>
      <c r="E76" s="342">
        <v>28</v>
      </c>
      <c r="F76" s="342">
        <v>0</v>
      </c>
      <c r="G76" s="342">
        <v>0</v>
      </c>
      <c r="H76" s="342">
        <v>0</v>
      </c>
      <c r="I76" s="383">
        <v>258.2</v>
      </c>
      <c r="J76" s="342">
        <f t="shared" si="7"/>
        <v>54610299.22950618</v>
      </c>
      <c r="K76" s="28">
        <v>130.87488663804646</v>
      </c>
      <c r="L76" s="11">
        <f t="shared" si="6"/>
        <v>53746.91630000007</v>
      </c>
      <c r="M76" s="155">
        <v>319.87200000000001</v>
      </c>
      <c r="N76" s="11">
        <f t="shared" si="8"/>
        <v>-324866.77049382031</v>
      </c>
      <c r="O76" s="152">
        <f t="shared" si="9"/>
        <v>5.9136395527378642E-3</v>
      </c>
      <c r="P76" s="29"/>
      <c r="Q76" s="29"/>
      <c r="R76" s="29"/>
      <c r="S76" s="29"/>
      <c r="T76" s="29"/>
      <c r="U76" s="29"/>
      <c r="V76" s="140"/>
      <c r="W76" s="140"/>
      <c r="X76" s="141"/>
      <c r="Y76" s="141"/>
      <c r="Z76" s="141"/>
      <c r="AA76" s="141"/>
      <c r="AB76" s="141"/>
      <c r="AC76" s="141"/>
    </row>
    <row r="77" spans="1:29" x14ac:dyDescent="0.2">
      <c r="A77" s="341">
        <v>38412</v>
      </c>
      <c r="B77" s="342">
        <v>56830765</v>
      </c>
      <c r="C77" s="146">
        <v>739.1</v>
      </c>
      <c r="D77" s="146">
        <v>0</v>
      </c>
      <c r="E77" s="342">
        <v>31</v>
      </c>
      <c r="F77" s="342">
        <v>1</v>
      </c>
      <c r="G77" s="342">
        <v>0</v>
      </c>
      <c r="H77" s="342">
        <v>0</v>
      </c>
      <c r="I77" s="383">
        <v>257.5</v>
      </c>
      <c r="J77" s="342">
        <f t="shared" si="7"/>
        <v>56289281.185384862</v>
      </c>
      <c r="K77" s="28">
        <v>131.1764111032422</v>
      </c>
      <c r="L77" s="11">
        <f t="shared" si="6"/>
        <v>53766.833000000071</v>
      </c>
      <c r="M77" s="155">
        <v>351.91199999999998</v>
      </c>
      <c r="N77" s="11">
        <f t="shared" si="8"/>
        <v>-541483.81461513788</v>
      </c>
      <c r="O77" s="152">
        <f t="shared" si="9"/>
        <v>9.5280050271210996E-3</v>
      </c>
      <c r="P77" s="140"/>
      <c r="Q77" s="140"/>
      <c r="R77" s="140"/>
      <c r="S77" s="140"/>
      <c r="T77" s="140"/>
      <c r="U77" s="140"/>
      <c r="V77" s="140"/>
      <c r="W77" s="140"/>
      <c r="X77" s="141"/>
      <c r="Y77" s="141"/>
      <c r="Z77" s="141"/>
      <c r="AA77" s="141"/>
      <c r="AB77" s="141"/>
      <c r="AC77" s="141"/>
    </row>
    <row r="78" spans="1:29" x14ac:dyDescent="0.2">
      <c r="A78" s="341">
        <v>38443</v>
      </c>
      <c r="B78" s="342">
        <v>46226900</v>
      </c>
      <c r="C78" s="146">
        <v>378.9</v>
      </c>
      <c r="D78" s="146">
        <v>0</v>
      </c>
      <c r="E78" s="342">
        <v>30</v>
      </c>
      <c r="F78" s="342">
        <v>1</v>
      </c>
      <c r="G78" s="342">
        <v>0</v>
      </c>
      <c r="H78" s="342">
        <v>0</v>
      </c>
      <c r="I78" s="383">
        <v>259.60000000000002</v>
      </c>
      <c r="J78" s="342">
        <f t="shared" si="7"/>
        <v>46200212.034221753</v>
      </c>
      <c r="K78" s="28">
        <v>131.4786302548323</v>
      </c>
      <c r="L78" s="11">
        <f t="shared" si="6"/>
        <v>53786.749700000073</v>
      </c>
      <c r="M78" s="155">
        <v>336.24</v>
      </c>
      <c r="N78" s="11">
        <f t="shared" si="8"/>
        <v>-26687.965778246522</v>
      </c>
      <c r="O78" s="152">
        <f t="shared" si="9"/>
        <v>5.7732544856450515E-4</v>
      </c>
      <c r="P78" s="48"/>
      <c r="Q78" s="48"/>
      <c r="R78" s="48"/>
      <c r="S78" s="48"/>
      <c r="T78" s="48"/>
      <c r="U78" s="48"/>
      <c r="V78" s="48"/>
      <c r="W78" s="140"/>
      <c r="X78" s="141"/>
      <c r="Y78" s="141"/>
      <c r="Z78" s="141"/>
      <c r="AA78" s="141"/>
      <c r="AB78" s="141"/>
      <c r="AC78" s="141"/>
    </row>
    <row r="79" spans="1:29" x14ac:dyDescent="0.2">
      <c r="A79" s="341">
        <v>38473</v>
      </c>
      <c r="B79" s="342">
        <v>43216125</v>
      </c>
      <c r="C79" s="146">
        <v>214.9</v>
      </c>
      <c r="D79" s="146">
        <v>0.9</v>
      </c>
      <c r="E79" s="342">
        <v>31</v>
      </c>
      <c r="F79" s="342">
        <v>1</v>
      </c>
      <c r="G79" s="342">
        <v>0</v>
      </c>
      <c r="H79" s="342">
        <v>0</v>
      </c>
      <c r="I79" s="383">
        <v>262.60000000000002</v>
      </c>
      <c r="J79" s="342">
        <f t="shared" si="7"/>
        <v>43433157.537269339</v>
      </c>
      <c r="K79" s="28">
        <v>131.78154569331437</v>
      </c>
      <c r="L79" s="11">
        <f t="shared" si="6"/>
        <v>53806.666400000075</v>
      </c>
      <c r="M79" s="155">
        <v>336.28800000000001</v>
      </c>
      <c r="N79" s="11">
        <f t="shared" si="8"/>
        <v>217032.53726933897</v>
      </c>
      <c r="O79" s="152">
        <f t="shared" si="9"/>
        <v>5.0220267844314813E-3</v>
      </c>
      <c r="P79" s="29"/>
      <c r="Q79" s="29"/>
      <c r="R79" s="29"/>
      <c r="S79" s="29"/>
      <c r="T79" s="29"/>
      <c r="U79" s="29"/>
      <c r="V79" s="29"/>
      <c r="W79" s="140"/>
      <c r="X79" s="141"/>
      <c r="Y79" s="141"/>
      <c r="Z79" s="141"/>
      <c r="AA79" s="141"/>
      <c r="AB79" s="141"/>
      <c r="AC79" s="141"/>
    </row>
    <row r="80" spans="1:29" x14ac:dyDescent="0.2">
      <c r="A80" s="341">
        <v>38504</v>
      </c>
      <c r="B80" s="342">
        <v>45498644</v>
      </c>
      <c r="C80" s="146">
        <v>32</v>
      </c>
      <c r="D80" s="146">
        <v>75.7</v>
      </c>
      <c r="E80" s="342">
        <v>30</v>
      </c>
      <c r="F80" s="342">
        <v>0</v>
      </c>
      <c r="G80" s="342">
        <v>0</v>
      </c>
      <c r="H80" s="342">
        <v>0</v>
      </c>
      <c r="I80" s="383">
        <v>263.39999999999998</v>
      </c>
      <c r="J80" s="342">
        <f t="shared" si="7"/>
        <v>45651294.79076577</v>
      </c>
      <c r="K80" s="28">
        <v>132.08515902287346</v>
      </c>
      <c r="L80" s="11">
        <f t="shared" si="6"/>
        <v>53826.583100000076</v>
      </c>
      <c r="M80" s="155">
        <v>352.08</v>
      </c>
      <c r="N80" s="11">
        <f t="shared" si="8"/>
        <v>152650.79076576978</v>
      </c>
      <c r="O80" s="152">
        <f t="shared" si="9"/>
        <v>3.355062422646481E-3</v>
      </c>
      <c r="P80" s="29"/>
      <c r="Q80" s="29"/>
      <c r="R80" s="29"/>
      <c r="S80" s="29"/>
      <c r="T80" s="29"/>
      <c r="U80" s="29"/>
      <c r="V80" s="29"/>
      <c r="W80" s="140"/>
      <c r="X80" s="141"/>
      <c r="Y80" s="141"/>
      <c r="Z80" s="141"/>
      <c r="AA80" s="141"/>
      <c r="AB80" s="141"/>
      <c r="AC80" s="141"/>
    </row>
    <row r="81" spans="1:29" x14ac:dyDescent="0.2">
      <c r="A81" s="341">
        <v>38534</v>
      </c>
      <c r="B81" s="342">
        <v>47362218</v>
      </c>
      <c r="C81" s="146">
        <v>13.7</v>
      </c>
      <c r="D81" s="146">
        <v>103</v>
      </c>
      <c r="E81" s="342">
        <v>31</v>
      </c>
      <c r="F81" s="342">
        <v>0</v>
      </c>
      <c r="G81" s="342">
        <v>0</v>
      </c>
      <c r="H81" s="342">
        <v>0</v>
      </c>
      <c r="I81" s="383">
        <v>263.8</v>
      </c>
      <c r="J81" s="342">
        <f t="shared" si="7"/>
        <v>48586885.69696188</v>
      </c>
      <c r="K81" s="28">
        <v>132.38947185139045</v>
      </c>
      <c r="L81" s="11">
        <f t="shared" si="6"/>
        <v>53846.499800000078</v>
      </c>
      <c r="M81" s="155">
        <v>319.92</v>
      </c>
      <c r="N81" s="11">
        <f t="shared" si="8"/>
        <v>1224667.6969618797</v>
      </c>
      <c r="O81" s="152">
        <f t="shared" si="9"/>
        <v>2.5857481948203517E-2</v>
      </c>
      <c r="P81" s="29"/>
      <c r="Q81" s="29"/>
      <c r="R81" s="29"/>
      <c r="S81" s="29"/>
      <c r="T81" s="29"/>
      <c r="U81" s="29"/>
      <c r="V81" s="29"/>
      <c r="W81" s="140"/>
      <c r="X81" s="141"/>
      <c r="Y81" s="141"/>
      <c r="Z81" s="141"/>
      <c r="AA81" s="141"/>
      <c r="AB81" s="141"/>
      <c r="AC81" s="141"/>
    </row>
    <row r="82" spans="1:29" x14ac:dyDescent="0.2">
      <c r="A82" s="341">
        <v>38565</v>
      </c>
      <c r="B82" s="342">
        <v>45630403</v>
      </c>
      <c r="C82" s="146">
        <v>18.8</v>
      </c>
      <c r="D82" s="146">
        <v>66.5</v>
      </c>
      <c r="E82" s="342">
        <v>31</v>
      </c>
      <c r="F82" s="342">
        <v>0</v>
      </c>
      <c r="G82" s="342">
        <v>0</v>
      </c>
      <c r="H82" s="342">
        <v>0</v>
      </c>
      <c r="I82" s="383">
        <v>261.2</v>
      </c>
      <c r="J82" s="342">
        <f t="shared" si="7"/>
        <v>45627727.450781994</v>
      </c>
      <c r="K82" s="28">
        <v>132.69448579045073</v>
      </c>
      <c r="L82" s="11">
        <f t="shared" si="6"/>
        <v>53866.416500000079</v>
      </c>
      <c r="M82" s="155">
        <v>351.91199999999998</v>
      </c>
      <c r="N82" s="11">
        <f t="shared" si="8"/>
        <v>-2675.5492180064321</v>
      </c>
      <c r="O82" s="152">
        <f t="shared" si="9"/>
        <v>5.8635230944737262E-5</v>
      </c>
      <c r="P82" s="29"/>
      <c r="Q82" s="29"/>
      <c r="R82" s="29"/>
      <c r="S82" s="29"/>
      <c r="T82" s="29"/>
      <c r="U82" s="29"/>
      <c r="V82" s="29"/>
      <c r="W82" s="140"/>
      <c r="X82" s="141"/>
      <c r="Y82" s="141"/>
      <c r="Z82" s="141"/>
      <c r="AA82" s="141"/>
      <c r="AB82" s="141"/>
      <c r="AC82" s="141"/>
    </row>
    <row r="83" spans="1:29" x14ac:dyDescent="0.2">
      <c r="A83" s="341">
        <v>38596</v>
      </c>
      <c r="B83" s="342">
        <v>42580573.000000007</v>
      </c>
      <c r="C83" s="146">
        <v>85.4</v>
      </c>
      <c r="D83" s="146">
        <v>17.3</v>
      </c>
      <c r="E83" s="342">
        <v>30</v>
      </c>
      <c r="F83" s="342">
        <v>1</v>
      </c>
      <c r="G83" s="342">
        <v>0</v>
      </c>
      <c r="H83" s="342">
        <v>0</v>
      </c>
      <c r="I83" s="383">
        <v>260.2</v>
      </c>
      <c r="J83" s="342">
        <f t="shared" si="7"/>
        <v>40282970.542733803</v>
      </c>
      <c r="K83" s="28">
        <v>133.00020245535256</v>
      </c>
      <c r="L83" s="11">
        <f t="shared" si="6"/>
        <v>53886.333200000081</v>
      </c>
      <c r="M83" s="155">
        <v>336.24</v>
      </c>
      <c r="N83" s="11">
        <f t="shared" si="8"/>
        <v>-2297602.4572662041</v>
      </c>
      <c r="O83" s="152">
        <f t="shared" si="9"/>
        <v>5.3958937031359434E-2</v>
      </c>
      <c r="P83" s="29"/>
      <c r="Q83" s="29"/>
      <c r="R83" s="29"/>
      <c r="S83" s="29"/>
      <c r="T83" s="29"/>
      <c r="U83" s="29"/>
      <c r="V83" s="29"/>
      <c r="W83" s="140"/>
      <c r="X83" s="141"/>
      <c r="Y83" s="141"/>
      <c r="Z83" s="141"/>
      <c r="AA83" s="141"/>
      <c r="AB83" s="141"/>
      <c r="AC83" s="141"/>
    </row>
    <row r="84" spans="1:29" x14ac:dyDescent="0.2">
      <c r="A84" s="341">
        <v>38626</v>
      </c>
      <c r="B84" s="342">
        <v>45537061</v>
      </c>
      <c r="C84" s="146">
        <v>300</v>
      </c>
      <c r="D84" s="146">
        <v>7.3</v>
      </c>
      <c r="E84" s="342">
        <v>31</v>
      </c>
      <c r="F84" s="342">
        <v>1</v>
      </c>
      <c r="G84" s="342">
        <v>0</v>
      </c>
      <c r="H84" s="342">
        <v>0</v>
      </c>
      <c r="I84" s="383">
        <v>259</v>
      </c>
      <c r="J84" s="342">
        <f t="shared" si="7"/>
        <v>45942920.164171383</v>
      </c>
      <c r="K84" s="28">
        <v>133.30662346511576</v>
      </c>
      <c r="L84" s="11">
        <f t="shared" si="6"/>
        <v>53906.249900000083</v>
      </c>
      <c r="M84" s="155">
        <v>319.92</v>
      </c>
      <c r="N84" s="11">
        <f t="shared" si="8"/>
        <v>405859.16417138278</v>
      </c>
      <c r="O84" s="152">
        <f t="shared" si="9"/>
        <v>8.9127219732380789E-3</v>
      </c>
      <c r="P84" s="29"/>
      <c r="Q84" s="29"/>
      <c r="R84" s="29"/>
      <c r="S84" s="29"/>
      <c r="T84" s="29"/>
      <c r="U84" s="29"/>
      <c r="V84" s="29"/>
      <c r="W84" s="140"/>
      <c r="X84" s="141"/>
      <c r="Y84" s="141"/>
      <c r="Z84" s="141"/>
      <c r="AA84" s="141"/>
      <c r="AB84" s="141"/>
      <c r="AC84" s="141"/>
    </row>
    <row r="85" spans="1:29" x14ac:dyDescent="0.2">
      <c r="A85" s="341">
        <v>38657</v>
      </c>
      <c r="B85" s="342">
        <v>51404729</v>
      </c>
      <c r="C85" s="146">
        <v>558.20000000000005</v>
      </c>
      <c r="D85" s="146">
        <v>0</v>
      </c>
      <c r="E85" s="342">
        <v>30</v>
      </c>
      <c r="F85" s="342">
        <v>1</v>
      </c>
      <c r="G85" s="342">
        <v>0</v>
      </c>
      <c r="H85" s="342">
        <v>0</v>
      </c>
      <c r="I85" s="383">
        <v>257.7</v>
      </c>
      <c r="J85" s="342">
        <f t="shared" si="7"/>
        <v>50616442.042668991</v>
      </c>
      <c r="K85" s="28">
        <v>133.61375044249021</v>
      </c>
      <c r="L85" s="11">
        <f t="shared" si="6"/>
        <v>53926.166600000084</v>
      </c>
      <c r="M85" s="155">
        <v>352.08</v>
      </c>
      <c r="N85" s="11">
        <f t="shared" si="8"/>
        <v>-788286.95733100921</v>
      </c>
      <c r="O85" s="152">
        <f t="shared" si="9"/>
        <v>1.5334911255558008E-2</v>
      </c>
      <c r="P85" s="29"/>
      <c r="Q85" s="29"/>
      <c r="R85" s="29"/>
      <c r="S85" s="29"/>
      <c r="T85" s="29"/>
      <c r="U85" s="29"/>
      <c r="V85" s="29"/>
      <c r="W85" s="140"/>
      <c r="X85" s="141"/>
      <c r="Y85" s="141"/>
      <c r="Z85" s="141"/>
      <c r="AA85" s="141"/>
      <c r="AB85" s="141"/>
      <c r="AC85" s="141"/>
    </row>
    <row r="86" spans="1:29" x14ac:dyDescent="0.2">
      <c r="A86" s="341">
        <v>38687</v>
      </c>
      <c r="B86" s="342">
        <v>60252162</v>
      </c>
      <c r="C86" s="146">
        <v>831.8</v>
      </c>
      <c r="D86" s="146">
        <v>0</v>
      </c>
      <c r="E86" s="342">
        <v>31</v>
      </c>
      <c r="F86" s="342">
        <v>0</v>
      </c>
      <c r="G86" s="342">
        <v>0</v>
      </c>
      <c r="H86" s="342">
        <v>0</v>
      </c>
      <c r="I86" s="383">
        <v>257</v>
      </c>
      <c r="J86" s="342">
        <f t="shared" si="7"/>
        <v>60398187.617190018</v>
      </c>
      <c r="K86" s="28">
        <v>133.92158501396437</v>
      </c>
      <c r="L86" s="11">
        <f t="shared" si="6"/>
        <v>53946.083300000086</v>
      </c>
      <c r="M86" s="155">
        <v>319.92</v>
      </c>
      <c r="N86" s="11">
        <f t="shared" si="8"/>
        <v>146025.6171900183</v>
      </c>
      <c r="O86" s="152">
        <f t="shared" si="9"/>
        <v>2.4235747289867923E-3</v>
      </c>
      <c r="P86" s="29"/>
      <c r="Q86" s="29"/>
      <c r="R86" s="29"/>
      <c r="S86" s="29"/>
      <c r="T86" s="29"/>
      <c r="U86" s="29"/>
      <c r="V86" s="29"/>
      <c r="W86" s="140"/>
      <c r="X86" s="141"/>
      <c r="Y86" s="141"/>
      <c r="Z86" s="141"/>
      <c r="AA86" s="141"/>
      <c r="AB86" s="141"/>
      <c r="AC86" s="141"/>
    </row>
    <row r="87" spans="1:29" x14ac:dyDescent="0.2">
      <c r="A87" s="341">
        <v>38718</v>
      </c>
      <c r="B87" s="342">
        <v>60057501</v>
      </c>
      <c r="C87" s="146">
        <v>774.4</v>
      </c>
      <c r="D87" s="146">
        <v>0</v>
      </c>
      <c r="E87" s="342">
        <v>31</v>
      </c>
      <c r="F87" s="342">
        <v>0</v>
      </c>
      <c r="G87" s="342">
        <v>0</v>
      </c>
      <c r="H87" s="342">
        <v>0</v>
      </c>
      <c r="I87" s="383">
        <v>256.7</v>
      </c>
      <c r="J87" s="342">
        <f t="shared" si="7"/>
        <v>58947671.056592934</v>
      </c>
      <c r="K87" s="28">
        <v>134.18652630932939</v>
      </c>
      <c r="L87" s="11">
        <f t="shared" si="6"/>
        <v>53966.000000000087</v>
      </c>
      <c r="M87" s="155">
        <v>336.28800000000001</v>
      </c>
      <c r="N87" s="11">
        <f t="shared" si="8"/>
        <v>-1109829.9434070662</v>
      </c>
      <c r="O87" s="152">
        <f t="shared" si="9"/>
        <v>1.847945593685402E-2</v>
      </c>
      <c r="P87" s="29"/>
      <c r="Q87" s="29"/>
      <c r="R87" s="29"/>
      <c r="S87" s="29"/>
      <c r="T87" s="29"/>
      <c r="U87" s="29"/>
      <c r="V87" s="29"/>
      <c r="W87" s="140"/>
      <c r="X87" s="142"/>
      <c r="Y87" s="142"/>
      <c r="Z87" s="142"/>
      <c r="AA87" s="141"/>
      <c r="AB87" s="141"/>
      <c r="AC87" s="141"/>
    </row>
    <row r="88" spans="1:29" x14ac:dyDescent="0.2">
      <c r="A88" s="341">
        <v>38749</v>
      </c>
      <c r="B88" s="342">
        <v>56039043</v>
      </c>
      <c r="C88" s="146">
        <v>819.9</v>
      </c>
      <c r="D88" s="146">
        <v>0</v>
      </c>
      <c r="E88" s="342">
        <v>28</v>
      </c>
      <c r="F88" s="342">
        <v>0</v>
      </c>
      <c r="G88" s="342">
        <v>0</v>
      </c>
      <c r="H88" s="342">
        <v>0</v>
      </c>
      <c r="I88" s="383">
        <v>254.5</v>
      </c>
      <c r="J88" s="342">
        <f t="shared" si="7"/>
        <v>56555591.442127675</v>
      </c>
      <c r="K88" s="28">
        <v>134.45199174641496</v>
      </c>
      <c r="L88" s="11">
        <f t="shared" si="6"/>
        <v>53985.916700000089</v>
      </c>
      <c r="M88" s="155">
        <v>319.87200000000001</v>
      </c>
      <c r="N88" s="11">
        <f t="shared" si="8"/>
        <v>516548.44212767482</v>
      </c>
      <c r="O88" s="152">
        <f t="shared" si="9"/>
        <v>9.2176528090901697E-3</v>
      </c>
      <c r="P88" s="140"/>
      <c r="Q88" s="140"/>
      <c r="R88" s="140"/>
      <c r="S88" s="140"/>
      <c r="T88" s="140"/>
      <c r="U88" s="140"/>
      <c r="V88" s="140"/>
      <c r="W88" s="140"/>
      <c r="X88" s="141"/>
      <c r="Y88" s="141"/>
      <c r="Z88" s="141"/>
      <c r="AA88" s="141"/>
      <c r="AB88" s="141"/>
      <c r="AC88" s="141"/>
    </row>
    <row r="89" spans="1:29" x14ac:dyDescent="0.2">
      <c r="A89" s="341">
        <v>38777</v>
      </c>
      <c r="B89" s="342">
        <v>55895027</v>
      </c>
      <c r="C89" s="146">
        <v>666.4</v>
      </c>
      <c r="D89" s="146">
        <v>0</v>
      </c>
      <c r="E89" s="342">
        <v>31</v>
      </c>
      <c r="F89" s="342">
        <v>1</v>
      </c>
      <c r="G89" s="342">
        <v>0</v>
      </c>
      <c r="H89" s="342">
        <v>0</v>
      </c>
      <c r="I89" s="383">
        <v>252.9</v>
      </c>
      <c r="J89" s="342">
        <f t="shared" si="7"/>
        <v>54281461.066144049</v>
      </c>
      <c r="K89" s="28">
        <v>134.71798236214718</v>
      </c>
      <c r="L89" s="11">
        <f t="shared" si="6"/>
        <v>54005.83340000009</v>
      </c>
      <c r="M89" s="155">
        <v>368.28</v>
      </c>
      <c r="N89" s="11">
        <f t="shared" si="8"/>
        <v>-1613565.9338559508</v>
      </c>
      <c r="O89" s="152">
        <f t="shared" si="9"/>
        <v>2.8867790579221848E-2</v>
      </c>
    </row>
    <row r="90" spans="1:29" x14ac:dyDescent="0.2">
      <c r="A90" s="341">
        <v>38808</v>
      </c>
      <c r="B90" s="342">
        <v>45424746</v>
      </c>
      <c r="C90" s="146">
        <v>368.2</v>
      </c>
      <c r="D90" s="146">
        <v>0</v>
      </c>
      <c r="E90" s="342">
        <v>30</v>
      </c>
      <c r="F90" s="342">
        <v>1</v>
      </c>
      <c r="G90" s="342">
        <v>0</v>
      </c>
      <c r="H90" s="342">
        <v>0</v>
      </c>
      <c r="I90" s="383">
        <v>252</v>
      </c>
      <c r="J90" s="342">
        <f t="shared" si="7"/>
        <v>45624720.306168519</v>
      </c>
      <c r="K90" s="28">
        <v>134.98449919550356</v>
      </c>
      <c r="L90" s="11">
        <f t="shared" si="6"/>
        <v>54025.750100000092</v>
      </c>
      <c r="M90" s="155">
        <v>303.83999999999997</v>
      </c>
      <c r="N90" s="11">
        <f t="shared" si="8"/>
        <v>199974.30616851896</v>
      </c>
      <c r="O90" s="152">
        <f t="shared" si="9"/>
        <v>4.4023208444251725E-3</v>
      </c>
    </row>
    <row r="91" spans="1:29" x14ac:dyDescent="0.2">
      <c r="A91" s="341">
        <v>38838</v>
      </c>
      <c r="B91" s="342">
        <v>43588455</v>
      </c>
      <c r="C91" s="146">
        <v>162.80000000000001</v>
      </c>
      <c r="D91" s="146">
        <v>14.5</v>
      </c>
      <c r="E91" s="342">
        <v>31</v>
      </c>
      <c r="F91" s="342">
        <v>1</v>
      </c>
      <c r="G91" s="342">
        <v>0</v>
      </c>
      <c r="H91" s="342">
        <v>0</v>
      </c>
      <c r="I91" s="383">
        <v>254.1</v>
      </c>
      <c r="J91" s="342">
        <f t="shared" si="7"/>
        <v>42894857.401792824</v>
      </c>
      <c r="K91" s="28">
        <v>135.25154328751699</v>
      </c>
      <c r="L91" s="11">
        <f t="shared" si="6"/>
        <v>54045.666800000094</v>
      </c>
      <c r="M91" s="155">
        <v>351.91199999999998</v>
      </c>
      <c r="N91" s="11">
        <f t="shared" si="8"/>
        <v>-693597.59820717573</v>
      </c>
      <c r="O91" s="152">
        <f t="shared" si="9"/>
        <v>1.5912415299123947E-2</v>
      </c>
    </row>
    <row r="92" spans="1:29" x14ac:dyDescent="0.2">
      <c r="A92" s="341">
        <v>38869</v>
      </c>
      <c r="B92" s="342">
        <v>43241594</v>
      </c>
      <c r="C92" s="146">
        <v>53</v>
      </c>
      <c r="D92" s="146">
        <v>31.7</v>
      </c>
      <c r="E92" s="342">
        <v>30</v>
      </c>
      <c r="F92" s="342">
        <v>0</v>
      </c>
      <c r="G92" s="342">
        <v>0</v>
      </c>
      <c r="H92" s="342">
        <v>0</v>
      </c>
      <c r="I92" s="383">
        <v>255.8</v>
      </c>
      <c r="J92" s="342">
        <f t="shared" si="7"/>
        <v>42275662.251875952</v>
      </c>
      <c r="K92" s="28">
        <v>135.51911568127991</v>
      </c>
      <c r="L92" s="11">
        <f t="shared" ref="L92:L121" si="10">L91+19.9167</f>
        <v>54065.583500000095</v>
      </c>
      <c r="M92" s="155">
        <v>352.08</v>
      </c>
      <c r="N92" s="11">
        <f t="shared" si="8"/>
        <v>-965931.74812404811</v>
      </c>
      <c r="O92" s="152">
        <f t="shared" si="9"/>
        <v>2.2338023619666938E-2</v>
      </c>
    </row>
    <row r="93" spans="1:29" x14ac:dyDescent="0.2">
      <c r="A93" s="341">
        <v>38899</v>
      </c>
      <c r="B93" s="342">
        <v>44839273</v>
      </c>
      <c r="C93" s="146">
        <v>9.4</v>
      </c>
      <c r="D93" s="146">
        <v>81.400000000000006</v>
      </c>
      <c r="E93" s="342">
        <v>31</v>
      </c>
      <c r="F93" s="342">
        <v>0</v>
      </c>
      <c r="G93" s="342">
        <v>0</v>
      </c>
      <c r="H93" s="342">
        <v>0</v>
      </c>
      <c r="I93" s="383">
        <v>260.60000000000002</v>
      </c>
      <c r="J93" s="342">
        <f t="shared" si="7"/>
        <v>46585139.622637831</v>
      </c>
      <c r="K93" s="28">
        <v>135.78721742194836</v>
      </c>
      <c r="L93" s="11">
        <f t="shared" si="10"/>
        <v>54085.500200000097</v>
      </c>
      <c r="M93" s="155">
        <v>319.92</v>
      </c>
      <c r="N93" s="11">
        <f t="shared" si="8"/>
        <v>1745866.6226378307</v>
      </c>
      <c r="O93" s="152">
        <f t="shared" si="9"/>
        <v>3.8936104575955782E-2</v>
      </c>
    </row>
    <row r="94" spans="1:29" x14ac:dyDescent="0.2">
      <c r="A94" s="341">
        <v>38930</v>
      </c>
      <c r="B94" s="342">
        <v>43794723</v>
      </c>
      <c r="C94" s="146">
        <v>50.8</v>
      </c>
      <c r="D94" s="146">
        <v>25.4</v>
      </c>
      <c r="E94" s="342">
        <v>31</v>
      </c>
      <c r="F94" s="342">
        <v>0</v>
      </c>
      <c r="G94" s="342">
        <v>0</v>
      </c>
      <c r="H94" s="342">
        <v>0</v>
      </c>
      <c r="I94" s="383">
        <v>262.8</v>
      </c>
      <c r="J94" s="342">
        <f t="shared" si="7"/>
        <v>43136722.751612701</v>
      </c>
      <c r="K94" s="28">
        <v>136.05584955674595</v>
      </c>
      <c r="L94" s="11">
        <f t="shared" si="10"/>
        <v>54105.416900000098</v>
      </c>
      <c r="M94" s="155">
        <v>351.91199999999998</v>
      </c>
      <c r="N94" s="11">
        <f t="shared" si="8"/>
        <v>-658000.24838729948</v>
      </c>
      <c r="O94" s="152">
        <f t="shared" si="9"/>
        <v>1.5024646882394929E-2</v>
      </c>
    </row>
    <row r="95" spans="1:29" x14ac:dyDescent="0.2">
      <c r="A95" s="341">
        <v>38961</v>
      </c>
      <c r="B95" s="342">
        <v>41496399</v>
      </c>
      <c r="C95" s="146">
        <v>183.8</v>
      </c>
      <c r="D95" s="146">
        <v>0.1</v>
      </c>
      <c r="E95" s="342">
        <v>30</v>
      </c>
      <c r="F95" s="342">
        <v>1</v>
      </c>
      <c r="G95" s="342">
        <v>0</v>
      </c>
      <c r="H95" s="342">
        <v>0</v>
      </c>
      <c r="I95" s="383">
        <v>262.8</v>
      </c>
      <c r="J95" s="342">
        <f t="shared" si="7"/>
        <v>41448794.807566233</v>
      </c>
      <c r="K95" s="28">
        <v>136.32501313496817</v>
      </c>
      <c r="L95" s="11">
        <f t="shared" si="10"/>
        <v>54125.3336000001</v>
      </c>
      <c r="M95" s="155">
        <v>319.68</v>
      </c>
      <c r="N95" s="11">
        <f t="shared" si="8"/>
        <v>-47604.192433767021</v>
      </c>
      <c r="O95" s="152">
        <f t="shared" si="9"/>
        <v>1.1471885170992071E-3</v>
      </c>
    </row>
    <row r="96" spans="1:29" x14ac:dyDescent="0.2">
      <c r="A96" s="341">
        <v>38991</v>
      </c>
      <c r="B96" s="342">
        <v>46700377</v>
      </c>
      <c r="C96" s="146">
        <v>401.4</v>
      </c>
      <c r="D96" s="146">
        <v>0</v>
      </c>
      <c r="E96" s="342">
        <v>31</v>
      </c>
      <c r="F96" s="342">
        <v>1</v>
      </c>
      <c r="G96" s="342">
        <v>0</v>
      </c>
      <c r="H96" s="342">
        <v>0</v>
      </c>
      <c r="I96" s="383">
        <v>260.8</v>
      </c>
      <c r="J96" s="342">
        <f t="shared" si="7"/>
        <v>47960332.168546766</v>
      </c>
      <c r="K96" s="28">
        <v>136.59470920798631</v>
      </c>
      <c r="L96" s="11">
        <f t="shared" si="10"/>
        <v>54145.250300000102</v>
      </c>
      <c r="M96" s="155">
        <v>336.28800000000001</v>
      </c>
      <c r="N96" s="11">
        <f t="shared" si="8"/>
        <v>1259955.168546766</v>
      </c>
      <c r="O96" s="152">
        <f t="shared" si="9"/>
        <v>2.6979550262447905E-2</v>
      </c>
    </row>
    <row r="97" spans="1:26" x14ac:dyDescent="0.2">
      <c r="A97" s="341">
        <v>39022</v>
      </c>
      <c r="B97" s="342">
        <v>49262976</v>
      </c>
      <c r="C97" s="146">
        <v>496.8</v>
      </c>
      <c r="D97" s="146">
        <v>0</v>
      </c>
      <c r="E97" s="342">
        <v>30</v>
      </c>
      <c r="F97" s="342">
        <v>1</v>
      </c>
      <c r="G97" s="342">
        <v>0</v>
      </c>
      <c r="H97" s="342">
        <v>0</v>
      </c>
      <c r="I97" s="383">
        <v>261</v>
      </c>
      <c r="J97" s="342">
        <f t="shared" si="7"/>
        <v>49211281.691577554</v>
      </c>
      <c r="K97" s="28">
        <v>136.8649388292516</v>
      </c>
      <c r="L97" s="11">
        <f t="shared" si="10"/>
        <v>54165.167000000103</v>
      </c>
      <c r="M97" s="155">
        <v>352.08</v>
      </c>
      <c r="N97" s="11">
        <f t="shared" si="8"/>
        <v>-51694.308422446251</v>
      </c>
      <c r="O97" s="152">
        <f t="shared" si="9"/>
        <v>1.0493541523444757E-3</v>
      </c>
    </row>
    <row r="98" spans="1:26" x14ac:dyDescent="0.2">
      <c r="A98" s="341">
        <v>39052</v>
      </c>
      <c r="B98" s="342">
        <v>55422684</v>
      </c>
      <c r="C98" s="146">
        <v>674.9</v>
      </c>
      <c r="D98" s="146">
        <v>0</v>
      </c>
      <c r="E98" s="342">
        <v>31</v>
      </c>
      <c r="F98" s="342">
        <v>0</v>
      </c>
      <c r="G98" s="342">
        <v>0</v>
      </c>
      <c r="H98" s="342">
        <v>0</v>
      </c>
      <c r="I98" s="383">
        <v>263.8</v>
      </c>
      <c r="J98" s="342">
        <f t="shared" si="7"/>
        <v>56741445.069250546</v>
      </c>
      <c r="K98" s="28">
        <v>137.13570305429951</v>
      </c>
      <c r="L98" s="11">
        <f t="shared" si="10"/>
        <v>54185.083700000105</v>
      </c>
      <c r="M98" s="155">
        <v>304.29599999999999</v>
      </c>
      <c r="N98" s="11">
        <f t="shared" si="8"/>
        <v>1318761.0692505464</v>
      </c>
      <c r="O98" s="152">
        <f t="shared" si="9"/>
        <v>2.3794608526186613E-2</v>
      </c>
    </row>
    <row r="99" spans="1:26" x14ac:dyDescent="0.2">
      <c r="A99" s="341">
        <v>39083</v>
      </c>
      <c r="B99" s="342">
        <v>62003361</v>
      </c>
      <c r="C99" s="146">
        <v>883.4</v>
      </c>
      <c r="D99" s="146">
        <v>0</v>
      </c>
      <c r="E99" s="342">
        <v>31</v>
      </c>
      <c r="F99" s="342">
        <v>0</v>
      </c>
      <c r="G99" s="342">
        <v>0</v>
      </c>
      <c r="H99" s="342">
        <v>0</v>
      </c>
      <c r="I99" s="383">
        <v>263</v>
      </c>
      <c r="J99" s="342">
        <f t="shared" si="7"/>
        <v>61933882.951011434</v>
      </c>
      <c r="K99" s="28">
        <v>137.36219381728966</v>
      </c>
      <c r="L99" s="11">
        <f t="shared" si="10"/>
        <v>54205.000400000106</v>
      </c>
      <c r="M99" s="155">
        <v>351.91199999999998</v>
      </c>
      <c r="N99" s="11">
        <f t="shared" si="8"/>
        <v>-69478.048988565803</v>
      </c>
      <c r="O99" s="152">
        <f t="shared" si="9"/>
        <v>1.1205529485500923E-3</v>
      </c>
      <c r="X99" s="138"/>
      <c r="Y99" s="138"/>
      <c r="Z99" s="138"/>
    </row>
    <row r="100" spans="1:26" x14ac:dyDescent="0.2">
      <c r="A100" s="341">
        <v>39114</v>
      </c>
      <c r="B100" s="342">
        <v>59454517</v>
      </c>
      <c r="C100" s="146">
        <v>909.1</v>
      </c>
      <c r="D100" s="146">
        <v>0</v>
      </c>
      <c r="E100" s="342">
        <v>28</v>
      </c>
      <c r="F100" s="342">
        <v>0</v>
      </c>
      <c r="G100" s="342">
        <v>0</v>
      </c>
      <c r="H100" s="342">
        <v>0</v>
      </c>
      <c r="I100" s="383">
        <v>260.7</v>
      </c>
      <c r="J100" s="342">
        <f t="shared" si="7"/>
        <v>59041591.847796671</v>
      </c>
      <c r="K100" s="28">
        <v>137.58905864818905</v>
      </c>
      <c r="L100" s="11">
        <f t="shared" si="10"/>
        <v>54224.917100000108</v>
      </c>
      <c r="M100" s="155">
        <v>319.87200000000001</v>
      </c>
      <c r="N100" s="11">
        <f t="shared" si="8"/>
        <v>-412925.15220332891</v>
      </c>
      <c r="O100" s="152">
        <f t="shared" si="9"/>
        <v>6.9452275964722561E-3</v>
      </c>
    </row>
    <row r="101" spans="1:26" x14ac:dyDescent="0.2">
      <c r="A101" s="341">
        <v>39142</v>
      </c>
      <c r="B101" s="342">
        <v>56496409</v>
      </c>
      <c r="C101" s="146">
        <v>691</v>
      </c>
      <c r="D101" s="146">
        <v>0</v>
      </c>
      <c r="E101" s="342">
        <v>31</v>
      </c>
      <c r="F101" s="342">
        <v>1</v>
      </c>
      <c r="G101" s="342">
        <v>0</v>
      </c>
      <c r="H101" s="342">
        <v>0</v>
      </c>
      <c r="I101" s="383">
        <v>260</v>
      </c>
      <c r="J101" s="342">
        <f t="shared" si="7"/>
        <v>55185051.124473616</v>
      </c>
      <c r="K101" s="28">
        <v>137.8162981648012</v>
      </c>
      <c r="L101" s="11">
        <f t="shared" si="10"/>
        <v>54244.833800000109</v>
      </c>
      <c r="M101" s="155">
        <v>351.91199999999998</v>
      </c>
      <c r="N101" s="11">
        <f t="shared" si="8"/>
        <v>-1311357.8755263835</v>
      </c>
      <c r="O101" s="152">
        <f t="shared" si="9"/>
        <v>2.3211349158959529E-2</v>
      </c>
    </row>
    <row r="102" spans="1:26" x14ac:dyDescent="0.2">
      <c r="A102" s="341">
        <v>39173</v>
      </c>
      <c r="B102" s="342">
        <v>47097957</v>
      </c>
      <c r="C102" s="146">
        <v>426.6</v>
      </c>
      <c r="D102" s="146">
        <v>0</v>
      </c>
      <c r="E102" s="342">
        <v>30</v>
      </c>
      <c r="F102" s="342">
        <v>1</v>
      </c>
      <c r="G102" s="342">
        <v>0</v>
      </c>
      <c r="H102" s="342">
        <v>0</v>
      </c>
      <c r="I102" s="383">
        <v>261.3</v>
      </c>
      <c r="J102" s="342">
        <f t="shared" si="7"/>
        <v>47464275.871612668</v>
      </c>
      <c r="K102" s="28">
        <v>138.04391298595004</v>
      </c>
      <c r="L102" s="11">
        <f t="shared" si="10"/>
        <v>54264.750500000111</v>
      </c>
      <c r="M102" s="155">
        <v>319.68</v>
      </c>
      <c r="N102" s="11">
        <f t="shared" si="8"/>
        <v>366318.87161266804</v>
      </c>
      <c r="O102" s="152">
        <f t="shared" si="9"/>
        <v>7.7778081034951905E-3</v>
      </c>
    </row>
    <row r="103" spans="1:26" x14ac:dyDescent="0.2">
      <c r="A103" s="341">
        <v>39203</v>
      </c>
      <c r="B103" s="342">
        <v>43141949.999999993</v>
      </c>
      <c r="C103" s="146">
        <v>189</v>
      </c>
      <c r="D103" s="146">
        <v>15.1</v>
      </c>
      <c r="E103" s="342">
        <v>31</v>
      </c>
      <c r="F103" s="342">
        <v>1</v>
      </c>
      <c r="G103" s="342">
        <v>0</v>
      </c>
      <c r="H103" s="342">
        <v>0</v>
      </c>
      <c r="I103" s="383">
        <v>265.7</v>
      </c>
      <c r="J103" s="342">
        <f t="shared" si="7"/>
        <v>44069547.850864366</v>
      </c>
      <c r="K103" s="28">
        <v>138.27190373148153</v>
      </c>
      <c r="L103" s="11">
        <f t="shared" si="10"/>
        <v>54284.667200000113</v>
      </c>
      <c r="M103" s="155">
        <v>351.91199999999998</v>
      </c>
      <c r="N103" s="11">
        <f t="shared" si="8"/>
        <v>927597.85086437315</v>
      </c>
      <c r="O103" s="152">
        <f t="shared" si="9"/>
        <v>2.1501064529173421E-2</v>
      </c>
    </row>
    <row r="104" spans="1:26" x14ac:dyDescent="0.2">
      <c r="A104" s="341">
        <v>39234</v>
      </c>
      <c r="B104" s="342">
        <v>43729150</v>
      </c>
      <c r="C104" s="146">
        <v>71.099999999999994</v>
      </c>
      <c r="D104" s="146">
        <v>55.8</v>
      </c>
      <c r="E104" s="342">
        <v>30</v>
      </c>
      <c r="F104" s="342">
        <v>0</v>
      </c>
      <c r="G104" s="342">
        <v>0</v>
      </c>
      <c r="H104" s="342">
        <v>0</v>
      </c>
      <c r="I104" s="383">
        <v>268</v>
      </c>
      <c r="J104" s="342">
        <f t="shared" si="7"/>
        <v>45191435.428091966</v>
      </c>
      <c r="K104" s="28">
        <v>138.50027102226537</v>
      </c>
      <c r="L104" s="11">
        <f t="shared" si="10"/>
        <v>54304.583900000114</v>
      </c>
      <c r="M104" s="155">
        <v>336.24</v>
      </c>
      <c r="N104" s="11">
        <f t="shared" si="8"/>
        <v>1462285.4280919656</v>
      </c>
      <c r="O104" s="152">
        <f t="shared" si="9"/>
        <v>3.3439603287325863E-2</v>
      </c>
    </row>
    <row r="105" spans="1:26" x14ac:dyDescent="0.2">
      <c r="A105" s="341">
        <v>39264</v>
      </c>
      <c r="B105" s="342">
        <v>43830720</v>
      </c>
      <c r="C105" s="146">
        <v>34.200000000000003</v>
      </c>
      <c r="D105" s="146">
        <v>44.6</v>
      </c>
      <c r="E105" s="342">
        <v>31</v>
      </c>
      <c r="F105" s="342">
        <v>0</v>
      </c>
      <c r="G105" s="342">
        <v>0</v>
      </c>
      <c r="H105" s="342">
        <v>0</v>
      </c>
      <c r="I105" s="383">
        <v>269.39999999999998</v>
      </c>
      <c r="J105" s="342">
        <f t="shared" si="7"/>
        <v>44556176.126246586</v>
      </c>
      <c r="K105" s="28">
        <v>138.72901548019664</v>
      </c>
      <c r="L105" s="11">
        <f t="shared" si="10"/>
        <v>54324.500600000116</v>
      </c>
      <c r="M105" s="155">
        <v>336.28800000000001</v>
      </c>
      <c r="N105" s="11">
        <f t="shared" si="8"/>
        <v>725456.12624658644</v>
      </c>
      <c r="O105" s="152">
        <f t="shared" si="9"/>
        <v>1.6551316662071408E-2</v>
      </c>
    </row>
    <row r="106" spans="1:26" x14ac:dyDescent="0.2">
      <c r="A106" s="341">
        <v>39295</v>
      </c>
      <c r="B106" s="342">
        <v>44858760</v>
      </c>
      <c r="C106" s="146">
        <v>36.799999999999997</v>
      </c>
      <c r="D106" s="146">
        <v>48.9</v>
      </c>
      <c r="E106" s="342">
        <v>31</v>
      </c>
      <c r="F106" s="342">
        <v>0</v>
      </c>
      <c r="G106" s="342">
        <v>0</v>
      </c>
      <c r="H106" s="342">
        <v>0</v>
      </c>
      <c r="I106" s="383">
        <v>269</v>
      </c>
      <c r="J106" s="342">
        <f t="shared" si="7"/>
        <v>44956434.133898683</v>
      </c>
      <c r="K106" s="28">
        <v>138.95813772819753</v>
      </c>
      <c r="L106" s="11">
        <f t="shared" si="10"/>
        <v>54344.417300000117</v>
      </c>
      <c r="M106" s="155">
        <v>351.91199999999998</v>
      </c>
      <c r="N106" s="11">
        <f t="shared" si="8"/>
        <v>97674.133898682892</v>
      </c>
      <c r="O106" s="152">
        <f t="shared" si="9"/>
        <v>2.1773703485937395E-3</v>
      </c>
    </row>
    <row r="107" spans="1:26" x14ac:dyDescent="0.2">
      <c r="A107" s="341">
        <v>39326</v>
      </c>
      <c r="B107" s="342">
        <v>41609690</v>
      </c>
      <c r="C107" s="146">
        <v>110</v>
      </c>
      <c r="D107" s="146">
        <v>13.7</v>
      </c>
      <c r="E107" s="342">
        <v>30</v>
      </c>
      <c r="F107" s="342">
        <v>1</v>
      </c>
      <c r="G107" s="342">
        <v>0</v>
      </c>
      <c r="H107" s="342">
        <v>0</v>
      </c>
      <c r="I107" s="383">
        <v>266</v>
      </c>
      <c r="J107" s="342">
        <f t="shared" si="7"/>
        <v>40839889.463399306</v>
      </c>
      <c r="K107" s="28">
        <v>139.18763839021906</v>
      </c>
      <c r="L107" s="11">
        <f t="shared" si="10"/>
        <v>54364.334000000119</v>
      </c>
      <c r="M107" s="155">
        <v>303.83999999999997</v>
      </c>
      <c r="N107" s="11">
        <f t="shared" si="8"/>
        <v>-769800.53660069406</v>
      </c>
      <c r="O107" s="152">
        <f t="shared" si="9"/>
        <v>1.8500511217475882E-2</v>
      </c>
    </row>
    <row r="108" spans="1:26" x14ac:dyDescent="0.2">
      <c r="A108" s="341">
        <v>39356</v>
      </c>
      <c r="B108" s="342">
        <v>44856839.999999993</v>
      </c>
      <c r="C108" s="146">
        <v>262</v>
      </c>
      <c r="D108" s="146">
        <v>0</v>
      </c>
      <c r="E108" s="342">
        <v>31</v>
      </c>
      <c r="F108" s="342">
        <v>1</v>
      </c>
      <c r="G108" s="342">
        <v>0</v>
      </c>
      <c r="H108" s="342">
        <v>0</v>
      </c>
      <c r="I108" s="383">
        <v>265.60000000000002</v>
      </c>
      <c r="J108" s="342">
        <f t="shared" si="7"/>
        <v>44661236.839052662</v>
      </c>
      <c r="K108" s="28">
        <v>139.41751809124278</v>
      </c>
      <c r="L108" s="11">
        <f t="shared" si="10"/>
        <v>54384.250700000121</v>
      </c>
      <c r="M108" s="155">
        <v>351.91199999999998</v>
      </c>
      <c r="N108" s="11">
        <f t="shared" si="8"/>
        <v>-195603.1609473303</v>
      </c>
      <c r="O108" s="152">
        <f t="shared" si="9"/>
        <v>4.3606094621763446E-3</v>
      </c>
    </row>
    <row r="109" spans="1:26" x14ac:dyDescent="0.2">
      <c r="A109" s="341">
        <v>39387</v>
      </c>
      <c r="B109" s="342">
        <v>51271030</v>
      </c>
      <c r="C109" s="146">
        <v>588.70000000000005</v>
      </c>
      <c r="D109" s="146">
        <v>0</v>
      </c>
      <c r="E109" s="342">
        <v>30</v>
      </c>
      <c r="F109" s="342">
        <v>1</v>
      </c>
      <c r="G109" s="342">
        <v>0</v>
      </c>
      <c r="H109" s="342">
        <v>0</v>
      </c>
      <c r="I109" s="383">
        <v>261.10000000000002</v>
      </c>
      <c r="J109" s="342">
        <f t="shared" si="7"/>
        <v>51518243.679061539</v>
      </c>
      <c r="K109" s="28">
        <v>139.64777745728242</v>
      </c>
      <c r="L109" s="11">
        <f t="shared" si="10"/>
        <v>54404.167400000122</v>
      </c>
      <c r="M109" s="155">
        <v>352.08</v>
      </c>
      <c r="N109" s="11">
        <f t="shared" si="8"/>
        <v>247213.67906153947</v>
      </c>
      <c r="O109" s="152">
        <f t="shared" si="9"/>
        <v>4.8217029979998344E-3</v>
      </c>
    </row>
    <row r="110" spans="1:26" x14ac:dyDescent="0.2">
      <c r="A110" s="341">
        <v>39417</v>
      </c>
      <c r="B110" s="342">
        <v>60289930</v>
      </c>
      <c r="C110" s="146">
        <v>833.8</v>
      </c>
      <c r="D110" s="146">
        <v>0</v>
      </c>
      <c r="E110" s="342">
        <v>31</v>
      </c>
      <c r="F110" s="342">
        <v>0</v>
      </c>
      <c r="G110" s="342">
        <v>0</v>
      </c>
      <c r="H110" s="342">
        <v>0</v>
      </c>
      <c r="I110" s="383">
        <v>258.60000000000002</v>
      </c>
      <c r="J110" s="342">
        <f t="shared" si="7"/>
        <v>60513013.087645255</v>
      </c>
      <c r="K110" s="28">
        <v>139.8784171153855</v>
      </c>
      <c r="L110" s="11">
        <f t="shared" si="10"/>
        <v>54424.084100000124</v>
      </c>
      <c r="M110" s="155">
        <v>304.29599999999999</v>
      </c>
      <c r="N110" s="11">
        <f t="shared" si="8"/>
        <v>223083.08764525503</v>
      </c>
      <c r="O110" s="152">
        <f t="shared" si="9"/>
        <v>3.7001716148161896E-3</v>
      </c>
    </row>
    <row r="111" spans="1:26" x14ac:dyDescent="0.2">
      <c r="A111" s="341">
        <v>39448</v>
      </c>
      <c r="B111" s="342">
        <v>61073577</v>
      </c>
      <c r="C111" s="344">
        <v>803.7</v>
      </c>
      <c r="D111" s="344">
        <v>0</v>
      </c>
      <c r="E111" s="342">
        <v>31</v>
      </c>
      <c r="F111" s="342">
        <v>0</v>
      </c>
      <c r="G111" s="342">
        <v>0</v>
      </c>
      <c r="H111" s="342">
        <v>0</v>
      </c>
      <c r="I111" s="383">
        <v>254.6</v>
      </c>
      <c r="J111" s="342">
        <f t="shared" si="7"/>
        <v>59596969.69558157</v>
      </c>
      <c r="K111" s="26">
        <v>139.98289565145978</v>
      </c>
      <c r="L111" s="11">
        <f t="shared" si="10"/>
        <v>54444.000800000125</v>
      </c>
      <c r="M111" s="156">
        <v>352</v>
      </c>
      <c r="N111" s="11">
        <f t="shared" si="8"/>
        <v>-1476607.3044184297</v>
      </c>
      <c r="O111" s="152">
        <f t="shared" si="9"/>
        <v>2.4177514679030995E-2</v>
      </c>
    </row>
    <row r="112" spans="1:26" x14ac:dyDescent="0.2">
      <c r="A112" s="341">
        <v>39479</v>
      </c>
      <c r="B112" s="342">
        <v>58581393</v>
      </c>
      <c r="C112" s="344">
        <v>840.1</v>
      </c>
      <c r="D112" s="344">
        <v>0</v>
      </c>
      <c r="E112" s="342">
        <v>29</v>
      </c>
      <c r="F112" s="342">
        <v>0</v>
      </c>
      <c r="G112" s="342">
        <v>0</v>
      </c>
      <c r="H112" s="342">
        <v>0</v>
      </c>
      <c r="I112" s="383">
        <v>255.1</v>
      </c>
      <c r="J112" s="342">
        <f t="shared" si="7"/>
        <v>58233810.648152106</v>
      </c>
      <c r="K112" s="26">
        <v>140.08745222505209</v>
      </c>
      <c r="L112" s="11">
        <f t="shared" si="10"/>
        <v>54463.917500000127</v>
      </c>
      <c r="M112" s="156">
        <v>320</v>
      </c>
      <c r="N112" s="11">
        <f t="shared" si="8"/>
        <v>-347582.35184789449</v>
      </c>
      <c r="O112" s="152">
        <f t="shared" si="9"/>
        <v>5.9333234333962407E-3</v>
      </c>
    </row>
    <row r="113" spans="1:17" x14ac:dyDescent="0.2">
      <c r="A113" s="341">
        <v>39508</v>
      </c>
      <c r="B113" s="342">
        <v>57220339</v>
      </c>
      <c r="C113" s="344">
        <v>762.1</v>
      </c>
      <c r="D113" s="344">
        <v>0</v>
      </c>
      <c r="E113" s="342">
        <v>31</v>
      </c>
      <c r="F113" s="342">
        <v>1</v>
      </c>
      <c r="G113" s="342">
        <v>0</v>
      </c>
      <c r="H113" s="342">
        <v>0</v>
      </c>
      <c r="I113" s="383">
        <v>257.60000000000002</v>
      </c>
      <c r="J113" s="342">
        <f t="shared" si="7"/>
        <v>56869681.323176682</v>
      </c>
      <c r="K113" s="26">
        <v>140.19208689445054</v>
      </c>
      <c r="L113" s="11">
        <f t="shared" si="10"/>
        <v>54483.834200000128</v>
      </c>
      <c r="M113" s="156">
        <v>304</v>
      </c>
      <c r="N113" s="11">
        <f t="shared" si="8"/>
        <v>-350657.676823318</v>
      </c>
      <c r="O113" s="152">
        <f t="shared" si="9"/>
        <v>6.1281999189714345E-3</v>
      </c>
    </row>
    <row r="114" spans="1:17" x14ac:dyDescent="0.2">
      <c r="A114" s="341">
        <v>39539</v>
      </c>
      <c r="B114" s="342">
        <v>45833475</v>
      </c>
      <c r="C114" s="344">
        <v>345.5</v>
      </c>
      <c r="D114" s="344">
        <v>0.4</v>
      </c>
      <c r="E114" s="342">
        <v>30</v>
      </c>
      <c r="F114" s="342">
        <v>1</v>
      </c>
      <c r="G114" s="342">
        <v>0</v>
      </c>
      <c r="H114" s="342">
        <v>0</v>
      </c>
      <c r="I114" s="383">
        <v>260.10000000000002</v>
      </c>
      <c r="J114" s="342">
        <f t="shared" si="7"/>
        <v>45416141.483983971</v>
      </c>
      <c r="K114" s="26">
        <v>140.29679971798677</v>
      </c>
      <c r="L114" s="11">
        <f t="shared" si="10"/>
        <v>54503.75090000013</v>
      </c>
      <c r="M114" s="156">
        <v>352</v>
      </c>
      <c r="N114" s="11">
        <f t="shared" si="8"/>
        <v>-417333.51601602882</v>
      </c>
      <c r="O114" s="152">
        <f t="shared" si="9"/>
        <v>9.1054303872012497E-3</v>
      </c>
    </row>
    <row r="115" spans="1:17" x14ac:dyDescent="0.2">
      <c r="A115" s="341">
        <v>39569</v>
      </c>
      <c r="B115" s="342">
        <v>42639861</v>
      </c>
      <c r="C115" s="344">
        <v>261</v>
      </c>
      <c r="D115" s="344">
        <v>0</v>
      </c>
      <c r="E115" s="342">
        <v>31</v>
      </c>
      <c r="F115" s="342">
        <v>1</v>
      </c>
      <c r="G115" s="342">
        <v>0</v>
      </c>
      <c r="H115" s="342">
        <v>0</v>
      </c>
      <c r="I115" s="383">
        <v>264.10000000000002</v>
      </c>
      <c r="J115" s="342">
        <f t="shared" si="7"/>
        <v>44575514.544223383</v>
      </c>
      <c r="K115" s="26">
        <v>140.40159075403594</v>
      </c>
      <c r="L115" s="11">
        <f t="shared" si="10"/>
        <v>54523.667600000132</v>
      </c>
      <c r="M115" s="156">
        <v>336</v>
      </c>
      <c r="N115" s="11">
        <f t="shared" si="8"/>
        <v>1935653.5442233831</v>
      </c>
      <c r="O115" s="152">
        <f t="shared" si="9"/>
        <v>4.5395399957410348E-2</v>
      </c>
    </row>
    <row r="116" spans="1:17" x14ac:dyDescent="0.2">
      <c r="A116" s="341">
        <v>39600</v>
      </c>
      <c r="B116" s="342">
        <v>41817235</v>
      </c>
      <c r="C116" s="344">
        <v>53.8</v>
      </c>
      <c r="D116" s="344">
        <v>26.2</v>
      </c>
      <c r="E116" s="342">
        <v>30</v>
      </c>
      <c r="F116" s="342">
        <v>0</v>
      </c>
      <c r="G116" s="342">
        <v>0</v>
      </c>
      <c r="H116" s="342">
        <v>0</v>
      </c>
      <c r="I116" s="383">
        <v>266.39999999999998</v>
      </c>
      <c r="J116" s="342">
        <f t="shared" si="7"/>
        <v>42275083.32903517</v>
      </c>
      <c r="K116" s="26">
        <v>140.50646006101687</v>
      </c>
      <c r="L116" s="11">
        <f t="shared" si="10"/>
        <v>54543.584300000133</v>
      </c>
      <c r="M116" s="156">
        <v>336</v>
      </c>
      <c r="N116" s="11">
        <f t="shared" si="8"/>
        <v>457848.32903517038</v>
      </c>
      <c r="O116" s="152">
        <f t="shared" si="9"/>
        <v>1.0948794893664546E-2</v>
      </c>
    </row>
    <row r="117" spans="1:17" x14ac:dyDescent="0.2">
      <c r="A117" s="341">
        <v>39630</v>
      </c>
      <c r="B117" s="342">
        <v>44576231</v>
      </c>
      <c r="C117" s="344">
        <v>11.5</v>
      </c>
      <c r="D117" s="344">
        <v>38.299999999999997</v>
      </c>
      <c r="E117" s="342">
        <v>31</v>
      </c>
      <c r="F117" s="342">
        <v>0</v>
      </c>
      <c r="G117" s="342">
        <v>0</v>
      </c>
      <c r="H117" s="342">
        <v>0</v>
      </c>
      <c r="I117" s="383">
        <v>269.60000000000002</v>
      </c>
      <c r="J117" s="342">
        <f t="shared" si="7"/>
        <v>43480757.920496494</v>
      </c>
      <c r="K117" s="26">
        <v>140.611407697392</v>
      </c>
      <c r="L117" s="11">
        <f t="shared" si="10"/>
        <v>54563.501000000135</v>
      </c>
      <c r="M117" s="156">
        <v>352</v>
      </c>
      <c r="N117" s="11">
        <f t="shared" si="8"/>
        <v>-1095473.0795035064</v>
      </c>
      <c r="O117" s="152">
        <f t="shared" si="9"/>
        <v>2.4575273748547885E-2</v>
      </c>
    </row>
    <row r="118" spans="1:17" x14ac:dyDescent="0.2">
      <c r="A118" s="341">
        <v>39661</v>
      </c>
      <c r="B118" s="342">
        <v>43512092</v>
      </c>
      <c r="C118" s="344">
        <v>35.700000000000003</v>
      </c>
      <c r="D118" s="344">
        <v>21.7</v>
      </c>
      <c r="E118" s="342">
        <v>31</v>
      </c>
      <c r="F118" s="342">
        <v>0</v>
      </c>
      <c r="G118" s="342">
        <v>0</v>
      </c>
      <c r="H118" s="342">
        <v>0</v>
      </c>
      <c r="I118" s="383">
        <v>270.60000000000002</v>
      </c>
      <c r="J118" s="342">
        <f t="shared" si="7"/>
        <v>42771516.361066803</v>
      </c>
      <c r="K118" s="26">
        <v>140.71643372166741</v>
      </c>
      <c r="L118" s="11">
        <f t="shared" si="10"/>
        <v>54583.417700000136</v>
      </c>
      <c r="M118" s="156">
        <v>320</v>
      </c>
      <c r="N118" s="11">
        <f t="shared" si="8"/>
        <v>-740575.63893319666</v>
      </c>
      <c r="O118" s="152">
        <f t="shared" si="9"/>
        <v>1.7019996164128276E-2</v>
      </c>
    </row>
    <row r="119" spans="1:17" x14ac:dyDescent="0.2">
      <c r="A119" s="341">
        <v>39692</v>
      </c>
      <c r="B119" s="342">
        <v>42133287</v>
      </c>
      <c r="C119" s="344">
        <v>151</v>
      </c>
      <c r="D119" s="344">
        <v>6.9</v>
      </c>
      <c r="E119" s="342">
        <v>30</v>
      </c>
      <c r="F119" s="342">
        <v>1</v>
      </c>
      <c r="G119" s="342">
        <v>0</v>
      </c>
      <c r="H119" s="342">
        <v>0</v>
      </c>
      <c r="I119" s="383">
        <v>271.10000000000002</v>
      </c>
      <c r="J119" s="342">
        <f t="shared" si="7"/>
        <v>41518046.769684106</v>
      </c>
      <c r="K119" s="26">
        <v>140.82153819239289</v>
      </c>
      <c r="L119" s="11">
        <f t="shared" si="10"/>
        <v>54603.334400000138</v>
      </c>
      <c r="M119" s="156">
        <v>336</v>
      </c>
      <c r="N119" s="11">
        <f t="shared" si="8"/>
        <v>-615240.23031589389</v>
      </c>
      <c r="O119" s="152">
        <f t="shared" si="9"/>
        <v>1.4602236714071083E-2</v>
      </c>
    </row>
    <row r="120" spans="1:17" x14ac:dyDescent="0.2">
      <c r="A120" s="341">
        <v>39722</v>
      </c>
      <c r="B120" s="342">
        <v>46526477</v>
      </c>
      <c r="C120" s="344">
        <v>381.4</v>
      </c>
      <c r="D120" s="344">
        <v>0.7</v>
      </c>
      <c r="E120" s="342">
        <v>31</v>
      </c>
      <c r="F120" s="342">
        <v>1</v>
      </c>
      <c r="G120" s="342">
        <v>0</v>
      </c>
      <c r="H120" s="342">
        <v>0</v>
      </c>
      <c r="I120" s="383">
        <v>270.89999999999998</v>
      </c>
      <c r="J120" s="342">
        <f t="shared" si="7"/>
        <v>47924804.995101482</v>
      </c>
      <c r="K120" s="26">
        <v>140.926721168162</v>
      </c>
      <c r="L120" s="11">
        <f t="shared" si="10"/>
        <v>54623.25110000014</v>
      </c>
      <c r="M120" s="156">
        <v>352</v>
      </c>
      <c r="N120" s="11">
        <f t="shared" si="8"/>
        <v>1398327.9951014817</v>
      </c>
      <c r="O120" s="152">
        <f t="shared" si="9"/>
        <v>3.0054456844034884E-2</v>
      </c>
    </row>
    <row r="121" spans="1:17" x14ac:dyDescent="0.2">
      <c r="A121" s="341">
        <v>39753</v>
      </c>
      <c r="B121" s="342">
        <v>50346630</v>
      </c>
      <c r="C121" s="344">
        <v>559.4</v>
      </c>
      <c r="D121" s="344">
        <v>0</v>
      </c>
      <c r="E121" s="342">
        <v>30</v>
      </c>
      <c r="F121" s="342">
        <v>1</v>
      </c>
      <c r="G121" s="342">
        <v>0</v>
      </c>
      <c r="H121" s="342">
        <v>0</v>
      </c>
      <c r="I121" s="383">
        <v>267.7</v>
      </c>
      <c r="J121" s="342">
        <f t="shared" si="7"/>
        <v>51050935.066083565</v>
      </c>
      <c r="K121" s="26">
        <v>141.031982707612</v>
      </c>
      <c r="L121" s="11">
        <f t="shared" si="10"/>
        <v>54643.167800000141</v>
      </c>
      <c r="M121" s="156">
        <v>304</v>
      </c>
      <c r="N121" s="11">
        <f t="shared" si="8"/>
        <v>704305.06608356535</v>
      </c>
      <c r="O121" s="152">
        <f t="shared" si="9"/>
        <v>1.3989120345960898E-2</v>
      </c>
    </row>
    <row r="122" spans="1:17" x14ac:dyDescent="0.2">
      <c r="A122" s="341">
        <v>39783</v>
      </c>
      <c r="B122" s="342">
        <v>60643394</v>
      </c>
      <c r="C122" s="344">
        <v>869.7</v>
      </c>
      <c r="D122" s="344">
        <v>0</v>
      </c>
      <c r="E122" s="342">
        <v>31</v>
      </c>
      <c r="F122" s="342">
        <v>0</v>
      </c>
      <c r="G122" s="342">
        <v>0</v>
      </c>
      <c r="H122" s="342">
        <v>0</v>
      </c>
      <c r="I122" s="383">
        <v>263.7</v>
      </c>
      <c r="J122" s="342">
        <f t="shared" si="7"/>
        <v>61618884.856900722</v>
      </c>
      <c r="K122" s="26">
        <v>141.13732286942397</v>
      </c>
      <c r="L122" s="11">
        <f>L121+19.9167</f>
        <v>54663.084500000143</v>
      </c>
      <c r="M122" s="156">
        <v>336</v>
      </c>
      <c r="N122" s="11">
        <f t="shared" si="8"/>
        <v>975490.85690072179</v>
      </c>
      <c r="O122" s="152">
        <f t="shared" si="9"/>
        <v>1.60856903375283E-2</v>
      </c>
    </row>
    <row r="123" spans="1:17" x14ac:dyDescent="0.2">
      <c r="A123" s="341">
        <v>39814</v>
      </c>
      <c r="B123" s="342">
        <v>66435130</v>
      </c>
      <c r="C123" s="343">
        <v>1046.0999999999999</v>
      </c>
      <c r="D123" s="343">
        <v>0</v>
      </c>
      <c r="E123" s="342">
        <v>31</v>
      </c>
      <c r="F123" s="342">
        <v>0</v>
      </c>
      <c r="G123" s="342">
        <v>0</v>
      </c>
      <c r="H123" s="342">
        <v>0</v>
      </c>
      <c r="I123" s="383">
        <v>258.2</v>
      </c>
      <c r="J123" s="342">
        <f t="shared" si="7"/>
        <v>65816851.881344832</v>
      </c>
      <c r="K123" s="26">
        <v>140.70675957794839</v>
      </c>
      <c r="L123" s="11">
        <f>+L122+(19.9167/2)</f>
        <v>54673.042850000144</v>
      </c>
      <c r="M123" s="156">
        <v>336</v>
      </c>
      <c r="N123" s="11">
        <f t="shared" si="8"/>
        <v>-618278.11865516752</v>
      </c>
      <c r="O123" s="152">
        <f t="shared" si="9"/>
        <v>9.3064936977645344E-3</v>
      </c>
    </row>
    <row r="124" spans="1:17" x14ac:dyDescent="0.2">
      <c r="A124" s="341">
        <v>39845</v>
      </c>
      <c r="B124" s="342">
        <v>54391300</v>
      </c>
      <c r="C124" s="343">
        <v>773.1</v>
      </c>
      <c r="D124" s="343">
        <v>0</v>
      </c>
      <c r="E124" s="342">
        <v>28</v>
      </c>
      <c r="F124" s="342">
        <v>0</v>
      </c>
      <c r="G124" s="342">
        <v>0</v>
      </c>
      <c r="H124" s="342">
        <v>0</v>
      </c>
      <c r="I124" s="383">
        <v>252.9</v>
      </c>
      <c r="J124" s="342">
        <f t="shared" si="7"/>
        <v>55318124.885080151</v>
      </c>
      <c r="K124" s="26">
        <v>140.27750979266801</v>
      </c>
      <c r="L124" s="11">
        <f>+L123+(19.9167/2)</f>
        <v>54683.001200000144</v>
      </c>
      <c r="M124" s="156">
        <v>304</v>
      </c>
      <c r="N124" s="11">
        <f t="shared" si="8"/>
        <v>926824.88508015126</v>
      </c>
      <c r="O124" s="152">
        <f t="shared" si="9"/>
        <v>1.7039947290837895E-2</v>
      </c>
    </row>
    <row r="125" spans="1:17" x14ac:dyDescent="0.2">
      <c r="A125" s="341">
        <v>39873</v>
      </c>
      <c r="B125" s="342">
        <v>54188320</v>
      </c>
      <c r="C125" s="343">
        <v>671.1</v>
      </c>
      <c r="D125" s="343">
        <v>0</v>
      </c>
      <c r="E125" s="342">
        <v>31</v>
      </c>
      <c r="F125" s="342">
        <v>1</v>
      </c>
      <c r="G125" s="342">
        <v>0</v>
      </c>
      <c r="H125" s="342">
        <v>0</v>
      </c>
      <c r="I125" s="383">
        <v>248.4</v>
      </c>
      <c r="J125" s="342">
        <f t="shared" si="7"/>
        <v>54217248.118414275</v>
      </c>
      <c r="K125" s="26">
        <v>139.84956950650991</v>
      </c>
      <c r="L125" s="11">
        <f t="shared" ref="L125:L170" si="11">+L124+(19.9167/2)</f>
        <v>54692.959550000145</v>
      </c>
      <c r="M125" s="156">
        <v>352</v>
      </c>
      <c r="N125" s="11">
        <f t="shared" si="8"/>
        <v>28928.118414275348</v>
      </c>
      <c r="O125" s="152">
        <f t="shared" si="9"/>
        <v>5.3384416446709089E-4</v>
      </c>
    </row>
    <row r="126" spans="1:17" x14ac:dyDescent="0.2">
      <c r="A126" s="341">
        <v>39904</v>
      </c>
      <c r="B126" s="342">
        <v>45313310</v>
      </c>
      <c r="C126" s="343">
        <v>421.4</v>
      </c>
      <c r="D126" s="343">
        <v>0.09</v>
      </c>
      <c r="E126" s="342">
        <v>30</v>
      </c>
      <c r="F126" s="342">
        <v>1</v>
      </c>
      <c r="G126" s="342">
        <v>0</v>
      </c>
      <c r="H126" s="342">
        <v>0</v>
      </c>
      <c r="I126" s="383">
        <v>245.2</v>
      </c>
      <c r="J126" s="342">
        <f t="shared" si="7"/>
        <v>46690201.852112271</v>
      </c>
      <c r="K126" s="26">
        <v>139.42293472462535</v>
      </c>
      <c r="L126" s="11">
        <f t="shared" si="11"/>
        <v>54702.917900000146</v>
      </c>
      <c r="M126" s="156">
        <v>320</v>
      </c>
      <c r="N126" s="11">
        <f t="shared" si="8"/>
        <v>1376891.8521122709</v>
      </c>
      <c r="O126" s="152">
        <f t="shared" si="9"/>
        <v>3.0386035628654603E-2</v>
      </c>
    </row>
    <row r="127" spans="1:17" x14ac:dyDescent="0.2">
      <c r="A127" s="341">
        <v>39934</v>
      </c>
      <c r="B127" s="342">
        <v>40746061.538461536</v>
      </c>
      <c r="C127" s="343">
        <v>257.10000000000002</v>
      </c>
      <c r="D127" s="343">
        <v>0</v>
      </c>
      <c r="E127" s="342">
        <v>31</v>
      </c>
      <c r="F127" s="342">
        <v>1</v>
      </c>
      <c r="G127" s="342">
        <v>0</v>
      </c>
      <c r="H127" s="342">
        <v>0</v>
      </c>
      <c r="I127" s="383">
        <v>247</v>
      </c>
      <c r="J127" s="342">
        <f t="shared" si="7"/>
        <v>43786222.52936253</v>
      </c>
      <c r="K127" s="26">
        <v>138.99760146435258</v>
      </c>
      <c r="L127" s="11">
        <f t="shared" si="11"/>
        <v>54712.876250000147</v>
      </c>
      <c r="M127" s="156">
        <v>320</v>
      </c>
      <c r="N127" s="11">
        <f t="shared" si="8"/>
        <v>3040160.9909009933</v>
      </c>
      <c r="O127" s="152">
        <f t="shared" si="9"/>
        <v>7.4612388930677051E-2</v>
      </c>
      <c r="Q127" s="145"/>
    </row>
    <row r="128" spans="1:17" x14ac:dyDescent="0.2">
      <c r="A128" s="341">
        <v>39965</v>
      </c>
      <c r="B128" s="342">
        <v>41206069.230769232</v>
      </c>
      <c r="C128" s="343">
        <v>85.2</v>
      </c>
      <c r="D128" s="343">
        <v>34.1</v>
      </c>
      <c r="E128" s="342">
        <v>30</v>
      </c>
      <c r="F128" s="342">
        <v>0</v>
      </c>
      <c r="G128" s="342">
        <v>0</v>
      </c>
      <c r="H128" s="342">
        <v>0</v>
      </c>
      <c r="I128" s="383">
        <v>253.2</v>
      </c>
      <c r="J128" s="342">
        <f t="shared" si="7"/>
        <v>43173474.90089865</v>
      </c>
      <c r="K128" s="26">
        <v>138.57356575517966</v>
      </c>
      <c r="L128" s="11">
        <f t="shared" si="11"/>
        <v>54722.834600000147</v>
      </c>
      <c r="M128" s="156">
        <v>352</v>
      </c>
      <c r="N128" s="11">
        <f t="shared" si="8"/>
        <v>1967405.6701294184</v>
      </c>
      <c r="O128" s="152">
        <f t="shared" si="9"/>
        <v>4.7745531346637768E-2</v>
      </c>
      <c r="Q128" s="145"/>
    </row>
    <row r="129" spans="1:17" x14ac:dyDescent="0.2">
      <c r="A129" s="341">
        <v>39995</v>
      </c>
      <c r="B129" s="342">
        <v>41748515.384615384</v>
      </c>
      <c r="C129" s="343">
        <v>46.3</v>
      </c>
      <c r="D129" s="343">
        <v>13.6</v>
      </c>
      <c r="E129" s="342">
        <v>31</v>
      </c>
      <c r="F129" s="342">
        <v>0</v>
      </c>
      <c r="G129" s="342">
        <v>0</v>
      </c>
      <c r="H129" s="342">
        <v>0</v>
      </c>
      <c r="I129" s="383">
        <v>258.7</v>
      </c>
      <c r="J129" s="342">
        <f t="shared" si="7"/>
        <v>41894162.204954036</v>
      </c>
      <c r="K129" s="26">
        <v>138.15082363870732</v>
      </c>
      <c r="L129" s="11">
        <f t="shared" si="11"/>
        <v>54732.792950000148</v>
      </c>
      <c r="M129" s="156">
        <v>352</v>
      </c>
      <c r="N129" s="11">
        <f t="shared" si="8"/>
        <v>145646.82033865154</v>
      </c>
      <c r="O129" s="152">
        <f t="shared" si="9"/>
        <v>3.4886706508448296E-3</v>
      </c>
      <c r="Q129" s="145"/>
    </row>
    <row r="130" spans="1:17" x14ac:dyDescent="0.2">
      <c r="A130" s="341">
        <v>40026</v>
      </c>
      <c r="B130" s="342">
        <v>42834530.769230768</v>
      </c>
      <c r="C130" s="343">
        <v>60.9</v>
      </c>
      <c r="D130" s="343">
        <v>35.6</v>
      </c>
      <c r="E130" s="342">
        <v>31</v>
      </c>
      <c r="F130" s="342">
        <v>0</v>
      </c>
      <c r="G130" s="342">
        <v>0</v>
      </c>
      <c r="H130" s="342">
        <v>0</v>
      </c>
      <c r="I130" s="383">
        <v>260.39999999999998</v>
      </c>
      <c r="J130" s="342">
        <f t="shared" si="7"/>
        <v>44126029.511519559</v>
      </c>
      <c r="K130" s="26">
        <v>137.72937116861209</v>
      </c>
      <c r="L130" s="11">
        <f t="shared" si="11"/>
        <v>54742.751300000149</v>
      </c>
      <c r="M130" s="156">
        <v>320</v>
      </c>
      <c r="N130" s="11">
        <f t="shared" si="8"/>
        <v>1291498.7422887906</v>
      </c>
      <c r="O130" s="152">
        <f t="shared" si="9"/>
        <v>3.0150878720877922E-2</v>
      </c>
      <c r="Q130" s="145"/>
    </row>
    <row r="131" spans="1:17" x14ac:dyDescent="0.2">
      <c r="A131" s="341">
        <v>40057</v>
      </c>
      <c r="B131" s="342">
        <v>40869246.153846152</v>
      </c>
      <c r="C131" s="343">
        <v>126.2</v>
      </c>
      <c r="D131" s="343">
        <v>4.9000000000000004</v>
      </c>
      <c r="E131" s="342">
        <v>30</v>
      </c>
      <c r="F131" s="342">
        <v>1</v>
      </c>
      <c r="G131" s="342">
        <v>0</v>
      </c>
      <c r="H131" s="342">
        <v>0</v>
      </c>
      <c r="I131" s="383">
        <v>255.3</v>
      </c>
      <c r="J131" s="342">
        <f t="shared" si="7"/>
        <v>40094210.736468233</v>
      </c>
      <c r="K131" s="26">
        <v>137.30920441060942</v>
      </c>
      <c r="L131" s="11">
        <f t="shared" si="11"/>
        <v>54752.70965000015</v>
      </c>
      <c r="M131" s="156">
        <v>336</v>
      </c>
      <c r="N131" s="11">
        <f t="shared" si="8"/>
        <v>-775035.41737791896</v>
      </c>
      <c r="O131" s="152">
        <f t="shared" si="9"/>
        <v>1.8963780600709253E-2</v>
      </c>
      <c r="Q131" s="145"/>
    </row>
    <row r="132" spans="1:17" x14ac:dyDescent="0.2">
      <c r="A132" s="341">
        <v>40087</v>
      </c>
      <c r="B132" s="342">
        <v>46305269.230769232</v>
      </c>
      <c r="C132" s="343">
        <v>409.4</v>
      </c>
      <c r="D132" s="343">
        <v>0</v>
      </c>
      <c r="E132" s="342">
        <v>31</v>
      </c>
      <c r="F132" s="342">
        <v>1</v>
      </c>
      <c r="G132" s="342">
        <v>0</v>
      </c>
      <c r="H132" s="342">
        <v>0</v>
      </c>
      <c r="I132" s="383">
        <v>249.3</v>
      </c>
      <c r="J132" s="342">
        <f t="shared" ref="J132:J195" si="12">$Q$19+C132*$Q$20+D132*$Q$21+E132*$Q$22+F132*$Q$23+G132*$Q$24+H132*$Q$25+I132*$Q$26</f>
        <v>47695718.169125274</v>
      </c>
      <c r="K132" s="26">
        <v>136.89031944241697</v>
      </c>
      <c r="L132" s="11">
        <f t="shared" si="11"/>
        <v>54762.668000000151</v>
      </c>
      <c r="M132" s="156">
        <v>336</v>
      </c>
      <c r="N132" s="11">
        <f t="shared" ref="N132:N182" si="13">J132-B132</f>
        <v>1390448.9383560419</v>
      </c>
      <c r="O132" s="152">
        <f t="shared" ref="O132:O182" si="14">ABS(N132/B132)</f>
        <v>3.0027877203921045E-2</v>
      </c>
      <c r="Q132" s="145"/>
    </row>
    <row r="133" spans="1:17" x14ac:dyDescent="0.2">
      <c r="A133" s="341">
        <v>40118</v>
      </c>
      <c r="B133" s="342">
        <v>47482200</v>
      </c>
      <c r="C133" s="343">
        <v>453.8</v>
      </c>
      <c r="D133" s="343">
        <v>0</v>
      </c>
      <c r="E133" s="342">
        <v>30</v>
      </c>
      <c r="F133" s="342">
        <v>1</v>
      </c>
      <c r="G133" s="342">
        <v>0</v>
      </c>
      <c r="H133" s="342">
        <v>0</v>
      </c>
      <c r="I133" s="383">
        <v>246.5</v>
      </c>
      <c r="J133" s="342">
        <f t="shared" si="12"/>
        <v>47547334.414037183</v>
      </c>
      <c r="K133" s="26">
        <v>136.47271235371795</v>
      </c>
      <c r="L133" s="11">
        <f t="shared" si="11"/>
        <v>54772.626350000151</v>
      </c>
      <c r="M133" s="156">
        <v>320</v>
      </c>
      <c r="N133" s="11">
        <f t="shared" si="13"/>
        <v>65134.414037182927</v>
      </c>
      <c r="O133" s="152">
        <f t="shared" si="14"/>
        <v>1.371764872671926E-3</v>
      </c>
      <c r="Q133" s="145"/>
    </row>
    <row r="134" spans="1:17" x14ac:dyDescent="0.2">
      <c r="A134" s="341">
        <v>40148</v>
      </c>
      <c r="B134" s="342">
        <v>58800730.769230768</v>
      </c>
      <c r="C134" s="343">
        <v>824.4</v>
      </c>
      <c r="D134" s="343">
        <v>0</v>
      </c>
      <c r="E134" s="342">
        <v>31</v>
      </c>
      <c r="F134" s="342">
        <v>0</v>
      </c>
      <c r="G134" s="342">
        <v>0</v>
      </c>
      <c r="H134" s="342">
        <v>0</v>
      </c>
      <c r="I134" s="383">
        <v>245.3</v>
      </c>
      <c r="J134" s="342">
        <f t="shared" si="12"/>
        <v>59739577.298651949</v>
      </c>
      <c r="K134" s="26">
        <v>136.05637924612469</v>
      </c>
      <c r="L134" s="11">
        <f t="shared" si="11"/>
        <v>54782.584700000152</v>
      </c>
      <c r="M134" s="156">
        <v>352</v>
      </c>
      <c r="N134" s="11">
        <f t="shared" si="13"/>
        <v>938846.52942118049</v>
      </c>
      <c r="O134" s="152">
        <f t="shared" si="14"/>
        <v>1.5966579277828633E-2</v>
      </c>
      <c r="Q134" s="145"/>
    </row>
    <row r="135" spans="1:17" x14ac:dyDescent="0.2">
      <c r="A135" s="341">
        <v>40179</v>
      </c>
      <c r="B135" s="342">
        <v>61714800.000000007</v>
      </c>
      <c r="C135" s="343">
        <v>887.4</v>
      </c>
      <c r="D135" s="343">
        <v>0</v>
      </c>
      <c r="E135" s="342">
        <v>31</v>
      </c>
      <c r="F135" s="342">
        <v>0</v>
      </c>
      <c r="G135" s="342">
        <v>0</v>
      </c>
      <c r="H135" s="342">
        <v>0</v>
      </c>
      <c r="I135" s="383">
        <v>245.8</v>
      </c>
      <c r="J135" s="342">
        <f t="shared" si="12"/>
        <v>61338512.440673545</v>
      </c>
      <c r="K135" s="26">
        <v>136.41398125617567</v>
      </c>
      <c r="L135" s="11">
        <f t="shared" si="11"/>
        <v>54792.543050000153</v>
      </c>
      <c r="M135" s="156">
        <v>320</v>
      </c>
      <c r="N135" s="11">
        <f t="shared" si="13"/>
        <v>-376287.55932646245</v>
      </c>
      <c r="O135" s="152">
        <f t="shared" si="14"/>
        <v>6.0972013087049201E-3</v>
      </c>
      <c r="Q135" s="145"/>
    </row>
    <row r="136" spans="1:17" x14ac:dyDescent="0.2">
      <c r="A136" s="341">
        <v>40210</v>
      </c>
      <c r="B136" s="342">
        <v>54321930.769230768</v>
      </c>
      <c r="C136" s="343">
        <v>753</v>
      </c>
      <c r="D136" s="343">
        <v>0</v>
      </c>
      <c r="E136" s="342">
        <v>28</v>
      </c>
      <c r="F136" s="342">
        <v>0</v>
      </c>
      <c r="G136" s="342">
        <v>0</v>
      </c>
      <c r="H136" s="342">
        <v>0</v>
      </c>
      <c r="I136" s="383">
        <v>243.5</v>
      </c>
      <c r="J136" s="342">
        <f t="shared" si="12"/>
        <v>54434282.990060881</v>
      </c>
      <c r="K136" s="26">
        <v>136.77252316480622</v>
      </c>
      <c r="L136" s="11">
        <f t="shared" si="11"/>
        <v>54802.501400000154</v>
      </c>
      <c r="M136" s="156">
        <v>304</v>
      </c>
      <c r="N136" s="11">
        <f t="shared" si="13"/>
        <v>112352.2208301127</v>
      </c>
      <c r="O136" s="152">
        <f t="shared" si="14"/>
        <v>2.0682663380910543E-3</v>
      </c>
      <c r="Q136" s="145"/>
    </row>
    <row r="137" spans="1:17" x14ac:dyDescent="0.2">
      <c r="A137" s="341">
        <v>40238</v>
      </c>
      <c r="B137" s="342">
        <v>50859730.769230768</v>
      </c>
      <c r="C137" s="343">
        <v>501.3</v>
      </c>
      <c r="D137" s="343">
        <v>0</v>
      </c>
      <c r="E137" s="342">
        <v>31</v>
      </c>
      <c r="F137" s="342">
        <v>1</v>
      </c>
      <c r="G137" s="342">
        <v>0</v>
      </c>
      <c r="H137" s="342">
        <v>0</v>
      </c>
      <c r="I137" s="383">
        <v>242.2</v>
      </c>
      <c r="J137" s="342">
        <f t="shared" si="12"/>
        <v>49711496.114992179</v>
      </c>
      <c r="K137" s="26">
        <v>137.13200744238648</v>
      </c>
      <c r="L137" s="11">
        <f t="shared" si="11"/>
        <v>54812.459750000155</v>
      </c>
      <c r="M137" s="156">
        <v>368</v>
      </c>
      <c r="N137" s="11">
        <f t="shared" si="13"/>
        <v>-1148234.6542385891</v>
      </c>
      <c r="O137" s="152">
        <f t="shared" si="14"/>
        <v>2.2576498869971422E-2</v>
      </c>
      <c r="Q137" s="145"/>
    </row>
    <row r="138" spans="1:17" x14ac:dyDescent="0.2">
      <c r="A138" s="341">
        <v>40269</v>
      </c>
      <c r="B138" s="342">
        <v>44050484.615384616</v>
      </c>
      <c r="C138" s="343">
        <v>314.5</v>
      </c>
      <c r="D138" s="343">
        <v>0.1</v>
      </c>
      <c r="E138" s="342">
        <v>30</v>
      </c>
      <c r="F138" s="342">
        <v>1</v>
      </c>
      <c r="G138" s="342">
        <v>0</v>
      </c>
      <c r="H138" s="342">
        <v>0</v>
      </c>
      <c r="I138" s="383">
        <v>245.3</v>
      </c>
      <c r="J138" s="342">
        <f t="shared" si="12"/>
        <v>44016260.951846458</v>
      </c>
      <c r="K138" s="26">
        <v>137.49243656577963</v>
      </c>
      <c r="L138" s="11">
        <f t="shared" si="11"/>
        <v>54822.418100000155</v>
      </c>
      <c r="M138" s="156">
        <v>320</v>
      </c>
      <c r="N138" s="11">
        <f t="shared" si="13"/>
        <v>-34223.66353815794</v>
      </c>
      <c r="O138" s="152">
        <f t="shared" si="14"/>
        <v>7.7691911535078409E-4</v>
      </c>
      <c r="Q138" s="145"/>
    </row>
    <row r="139" spans="1:17" x14ac:dyDescent="0.2">
      <c r="A139" s="341">
        <v>40299</v>
      </c>
      <c r="B139" s="342">
        <v>44651823.07692308</v>
      </c>
      <c r="C139" s="343">
        <v>147.69999999999999</v>
      </c>
      <c r="D139" s="343">
        <v>29.2</v>
      </c>
      <c r="E139" s="342">
        <v>31</v>
      </c>
      <c r="F139" s="342">
        <v>1</v>
      </c>
      <c r="G139" s="342">
        <v>0</v>
      </c>
      <c r="H139" s="342">
        <v>0</v>
      </c>
      <c r="I139" s="383">
        <v>249.4</v>
      </c>
      <c r="J139" s="342">
        <f t="shared" si="12"/>
        <v>43527281.727662288</v>
      </c>
      <c r="K139" s="26">
        <v>137.85381301835881</v>
      </c>
      <c r="L139" s="11">
        <f t="shared" si="11"/>
        <v>54832.376450000156</v>
      </c>
      <c r="M139" s="156">
        <v>320</v>
      </c>
      <c r="N139" s="11">
        <f t="shared" si="13"/>
        <v>-1124541.3492607921</v>
      </c>
      <c r="O139" s="152">
        <f t="shared" si="14"/>
        <v>2.5184668212169296E-2</v>
      </c>
      <c r="Q139" s="145"/>
    </row>
    <row r="140" spans="1:17" x14ac:dyDescent="0.2">
      <c r="A140" s="341">
        <v>40330</v>
      </c>
      <c r="B140" s="342">
        <v>42680284.615384616</v>
      </c>
      <c r="C140" s="343">
        <v>71.2</v>
      </c>
      <c r="D140" s="343">
        <v>7.1</v>
      </c>
      <c r="E140" s="342">
        <v>30</v>
      </c>
      <c r="F140" s="342">
        <v>0</v>
      </c>
      <c r="G140" s="342">
        <v>0</v>
      </c>
      <c r="H140" s="342">
        <v>0</v>
      </c>
      <c r="I140" s="383">
        <v>259.2</v>
      </c>
      <c r="J140" s="342">
        <f t="shared" si="12"/>
        <v>40859581.119895458</v>
      </c>
      <c r="K140" s="26">
        <v>138.21613929002433</v>
      </c>
      <c r="L140" s="11">
        <f t="shared" si="11"/>
        <v>54842.334800000157</v>
      </c>
      <c r="M140" s="156">
        <v>352</v>
      </c>
      <c r="N140" s="11">
        <f t="shared" si="13"/>
        <v>-1820703.4954891577</v>
      </c>
      <c r="O140" s="152">
        <f t="shared" si="14"/>
        <v>4.2659122634642964E-2</v>
      </c>
      <c r="Q140" s="145"/>
    </row>
    <row r="141" spans="1:17" x14ac:dyDescent="0.2">
      <c r="A141" s="341">
        <v>40360</v>
      </c>
      <c r="B141" s="342">
        <v>47940330.769230768</v>
      </c>
      <c r="C141" s="343">
        <v>11</v>
      </c>
      <c r="D141" s="343">
        <v>90.4</v>
      </c>
      <c r="E141" s="342">
        <v>31</v>
      </c>
      <c r="F141" s="342">
        <v>0</v>
      </c>
      <c r="G141" s="342">
        <v>0</v>
      </c>
      <c r="H141" s="342">
        <v>0</v>
      </c>
      <c r="I141" s="383">
        <v>261.10000000000002</v>
      </c>
      <c r="J141" s="342">
        <f t="shared" si="12"/>
        <v>47380695.664312609</v>
      </c>
      <c r="K141" s="26">
        <v>138.57941787722081</v>
      </c>
      <c r="L141" s="11">
        <f t="shared" si="11"/>
        <v>54852.293150000158</v>
      </c>
      <c r="M141" s="156">
        <v>336</v>
      </c>
      <c r="N141" s="11">
        <f t="shared" si="13"/>
        <v>-559635.10491815954</v>
      </c>
      <c r="O141" s="152">
        <f t="shared" si="14"/>
        <v>1.1673576213148419E-2</v>
      </c>
      <c r="Q141" s="145"/>
    </row>
    <row r="142" spans="1:17" x14ac:dyDescent="0.2">
      <c r="A142" s="341">
        <v>40391</v>
      </c>
      <c r="B142" s="342">
        <v>46659623.07692308</v>
      </c>
      <c r="C142" s="343">
        <v>29.4</v>
      </c>
      <c r="D142" s="343">
        <v>69.7</v>
      </c>
      <c r="E142" s="342">
        <v>31</v>
      </c>
      <c r="F142" s="342">
        <v>0</v>
      </c>
      <c r="G142" s="342">
        <v>0</v>
      </c>
      <c r="H142" s="342">
        <v>0</v>
      </c>
      <c r="I142" s="383">
        <v>261.2</v>
      </c>
      <c r="J142" s="342">
        <f t="shared" si="12"/>
        <v>46154771.231855497</v>
      </c>
      <c r="K142" s="26">
        <v>138.94365128295433</v>
      </c>
      <c r="L142" s="11">
        <f t="shared" si="11"/>
        <v>54862.251500000159</v>
      </c>
      <c r="M142" s="156">
        <v>336</v>
      </c>
      <c r="N142" s="11">
        <f t="shared" si="13"/>
        <v>-504851.84506758302</v>
      </c>
      <c r="O142" s="152">
        <f t="shared" si="14"/>
        <v>1.0819886912401414E-2</v>
      </c>
      <c r="Q142" s="145"/>
    </row>
    <row r="143" spans="1:17" x14ac:dyDescent="0.2">
      <c r="A143" s="341">
        <v>40422</v>
      </c>
      <c r="B143" s="342">
        <v>43088392.307692312</v>
      </c>
      <c r="C143" s="343">
        <v>177.3</v>
      </c>
      <c r="D143" s="343">
        <v>11.8</v>
      </c>
      <c r="E143" s="342">
        <v>30</v>
      </c>
      <c r="F143" s="342">
        <v>1</v>
      </c>
      <c r="G143" s="342">
        <v>0</v>
      </c>
      <c r="H143" s="342">
        <v>0</v>
      </c>
      <c r="I143" s="383">
        <v>258.7</v>
      </c>
      <c r="J143" s="342">
        <f t="shared" si="12"/>
        <v>42075911.263487495</v>
      </c>
      <c r="K143" s="26">
        <v>139.30884201680979</v>
      </c>
      <c r="L143" s="11">
        <f t="shared" si="11"/>
        <v>54872.209850000159</v>
      </c>
      <c r="M143" s="156">
        <v>336</v>
      </c>
      <c r="N143" s="11">
        <f t="shared" si="13"/>
        <v>-1012481.0442048162</v>
      </c>
      <c r="O143" s="152">
        <f t="shared" si="14"/>
        <v>2.3497767959749661E-2</v>
      </c>
      <c r="Q143" s="145"/>
    </row>
    <row r="144" spans="1:17" x14ac:dyDescent="0.2">
      <c r="A144" s="341">
        <v>40452</v>
      </c>
      <c r="B144" s="342">
        <v>45676969.230769232</v>
      </c>
      <c r="C144" s="343">
        <v>369.8</v>
      </c>
      <c r="D144" s="343">
        <v>0</v>
      </c>
      <c r="E144" s="342">
        <v>31</v>
      </c>
      <c r="F144" s="342">
        <v>1</v>
      </c>
      <c r="G144" s="342">
        <v>0</v>
      </c>
      <c r="H144" s="342">
        <v>0</v>
      </c>
      <c r="I144" s="383">
        <v>257.8</v>
      </c>
      <c r="J144" s="342">
        <f t="shared" si="12"/>
        <v>47047142.575246878</v>
      </c>
      <c r="K144" s="26">
        <v>139.67499259496805</v>
      </c>
      <c r="L144" s="11">
        <f t="shared" si="11"/>
        <v>54882.16820000016</v>
      </c>
      <c r="M144" s="156">
        <v>320</v>
      </c>
      <c r="N144" s="11">
        <f t="shared" si="13"/>
        <v>1370173.3444776461</v>
      </c>
      <c r="O144" s="152">
        <f t="shared" si="14"/>
        <v>2.9997028427066929E-2</v>
      </c>
      <c r="Q144" s="145"/>
    </row>
    <row r="145" spans="1:17" x14ac:dyDescent="0.2">
      <c r="A145" s="341">
        <v>40483</v>
      </c>
      <c r="B145" s="342">
        <v>50732084.615384623</v>
      </c>
      <c r="C145" s="343">
        <v>526.1</v>
      </c>
      <c r="D145" s="343">
        <v>0</v>
      </c>
      <c r="E145" s="342">
        <v>30</v>
      </c>
      <c r="F145" s="342">
        <v>1</v>
      </c>
      <c r="G145" s="342">
        <v>0</v>
      </c>
      <c r="H145" s="342">
        <v>0</v>
      </c>
      <c r="I145" s="383">
        <v>258.7</v>
      </c>
      <c r="J145" s="342">
        <f t="shared" si="12"/>
        <v>49852491.884965725</v>
      </c>
      <c r="K145" s="26">
        <v>140.04210554022336</v>
      </c>
      <c r="L145" s="11">
        <f t="shared" si="11"/>
        <v>54892.126550000161</v>
      </c>
      <c r="M145" s="156">
        <v>336</v>
      </c>
      <c r="N145" s="11">
        <f t="shared" si="13"/>
        <v>-879592.73041889817</v>
      </c>
      <c r="O145" s="152">
        <f t="shared" si="14"/>
        <v>1.7337996991201098E-2</v>
      </c>
      <c r="Q145" s="145"/>
    </row>
    <row r="146" spans="1:17" x14ac:dyDescent="0.2">
      <c r="A146" s="341">
        <v>40513</v>
      </c>
      <c r="B146" s="342">
        <v>59729500.000000007</v>
      </c>
      <c r="C146" s="343">
        <v>812.9</v>
      </c>
      <c r="D146" s="343">
        <v>0</v>
      </c>
      <c r="E146" s="342">
        <v>31</v>
      </c>
      <c r="F146" s="342">
        <v>0</v>
      </c>
      <c r="G146" s="342">
        <v>0</v>
      </c>
      <c r="H146" s="342">
        <v>0</v>
      </c>
      <c r="I146" s="383">
        <v>256.39999999999998</v>
      </c>
      <c r="J146" s="342">
        <f t="shared" si="12"/>
        <v>59900308.071982473</v>
      </c>
      <c r="K146" s="26">
        <v>140.4101833820007</v>
      </c>
      <c r="L146" s="11">
        <f t="shared" si="11"/>
        <v>54902.084900000162</v>
      </c>
      <c r="M146" s="156">
        <v>368</v>
      </c>
      <c r="N146" s="11">
        <f t="shared" si="13"/>
        <v>170808.07198246568</v>
      </c>
      <c r="O146" s="152">
        <f t="shared" si="14"/>
        <v>2.859693651921842E-3</v>
      </c>
      <c r="Q146" s="145"/>
    </row>
    <row r="147" spans="1:17" x14ac:dyDescent="0.2">
      <c r="A147" s="341">
        <v>40544</v>
      </c>
      <c r="B147" s="342">
        <v>64609346.153846152</v>
      </c>
      <c r="C147" s="343">
        <v>984.2</v>
      </c>
      <c r="D147" s="343">
        <v>0</v>
      </c>
      <c r="E147" s="342">
        <v>31</v>
      </c>
      <c r="F147" s="342">
        <v>0</v>
      </c>
      <c r="G147" s="342">
        <v>0</v>
      </c>
      <c r="H147" s="342">
        <v>0</v>
      </c>
      <c r="I147" s="383">
        <v>257.5</v>
      </c>
      <c r="J147" s="342">
        <f t="shared" si="12"/>
        <v>64237393.141831063</v>
      </c>
      <c r="K147" s="26">
        <v>140.66504232107786</v>
      </c>
      <c r="L147" s="11">
        <f t="shared" si="11"/>
        <v>54912.043250000163</v>
      </c>
      <c r="M147" s="156">
        <f t="shared" ref="M147:M153" si="15">+M135</f>
        <v>320</v>
      </c>
      <c r="N147" s="11">
        <f t="shared" si="13"/>
        <v>-371953.01201508939</v>
      </c>
      <c r="O147" s="152">
        <f t="shared" si="14"/>
        <v>5.7569536631651439E-3</v>
      </c>
      <c r="Q147" s="145"/>
    </row>
    <row r="148" spans="1:17" x14ac:dyDescent="0.2">
      <c r="A148" s="341">
        <v>40575</v>
      </c>
      <c r="B148" s="342">
        <v>56418838.461538471</v>
      </c>
      <c r="C148" s="343">
        <v>798.2</v>
      </c>
      <c r="D148" s="343">
        <v>0</v>
      </c>
      <c r="E148" s="342">
        <v>28</v>
      </c>
      <c r="F148" s="342">
        <v>0</v>
      </c>
      <c r="G148" s="342">
        <v>0</v>
      </c>
      <c r="H148" s="342">
        <v>0</v>
      </c>
      <c r="I148" s="383">
        <v>256.2</v>
      </c>
      <c r="J148" s="342">
        <f t="shared" si="12"/>
        <v>56080563.953413568</v>
      </c>
      <c r="K148" s="26">
        <v>140.920363855369</v>
      </c>
      <c r="L148" s="11">
        <f t="shared" si="11"/>
        <v>54922.001600000163</v>
      </c>
      <c r="M148" s="156">
        <f t="shared" si="15"/>
        <v>304</v>
      </c>
      <c r="N148" s="11">
        <f t="shared" si="13"/>
        <v>-338274.50812490284</v>
      </c>
      <c r="O148" s="152">
        <f t="shared" si="14"/>
        <v>5.9957722872212163E-3</v>
      </c>
      <c r="Q148" s="145"/>
    </row>
    <row r="149" spans="1:17" x14ac:dyDescent="0.2">
      <c r="A149" s="341">
        <v>40603</v>
      </c>
      <c r="B149" s="342">
        <v>57187261.538461544</v>
      </c>
      <c r="C149" s="343">
        <v>742.1</v>
      </c>
      <c r="D149" s="343">
        <v>0</v>
      </c>
      <c r="E149" s="342">
        <v>31</v>
      </c>
      <c r="F149" s="342">
        <v>1</v>
      </c>
      <c r="G149" s="342">
        <v>0</v>
      </c>
      <c r="H149" s="342">
        <v>0</v>
      </c>
      <c r="I149" s="383">
        <v>255.4</v>
      </c>
      <c r="J149" s="342">
        <f t="shared" si="12"/>
        <v>56279529.365057044</v>
      </c>
      <c r="K149" s="26">
        <v>141.17614882453208</v>
      </c>
      <c r="L149" s="11">
        <f t="shared" si="11"/>
        <v>54931.959950000164</v>
      </c>
      <c r="M149" s="156">
        <f t="shared" si="15"/>
        <v>368</v>
      </c>
      <c r="N149" s="11">
        <f t="shared" si="13"/>
        <v>-907732.17340449989</v>
      </c>
      <c r="O149" s="152">
        <f t="shared" si="14"/>
        <v>1.5872978509278692E-2</v>
      </c>
      <c r="Q149" s="145"/>
    </row>
    <row r="150" spans="1:17" x14ac:dyDescent="0.2">
      <c r="A150" s="341">
        <v>40634</v>
      </c>
      <c r="B150" s="342">
        <v>47356076.923076928</v>
      </c>
      <c r="C150" s="343">
        <v>443.5</v>
      </c>
      <c r="D150" s="343">
        <v>0</v>
      </c>
      <c r="E150" s="342">
        <v>30</v>
      </c>
      <c r="F150" s="342">
        <v>1</v>
      </c>
      <c r="G150" s="342">
        <v>0</v>
      </c>
      <c r="H150" s="342">
        <v>0</v>
      </c>
      <c r="I150" s="383">
        <v>255.2</v>
      </c>
      <c r="J150" s="342">
        <f t="shared" si="12"/>
        <v>47641074.58355289</v>
      </c>
      <c r="K150" s="26">
        <v>141.4323980697491</v>
      </c>
      <c r="L150" s="11">
        <f t="shared" si="11"/>
        <v>54941.918300000165</v>
      </c>
      <c r="M150" s="156">
        <f t="shared" si="15"/>
        <v>320</v>
      </c>
      <c r="N150" s="11">
        <f t="shared" si="13"/>
        <v>284997.66047596186</v>
      </c>
      <c r="O150" s="152">
        <f t="shared" si="14"/>
        <v>6.0181856055960712E-3</v>
      </c>
      <c r="Q150" s="145"/>
    </row>
    <row r="151" spans="1:17" x14ac:dyDescent="0.2">
      <c r="A151" s="341">
        <v>40664</v>
      </c>
      <c r="B151" s="342">
        <v>43036769.230769232</v>
      </c>
      <c r="C151" s="343">
        <v>175.1</v>
      </c>
      <c r="D151" s="343">
        <v>6.9</v>
      </c>
      <c r="E151" s="342">
        <v>31</v>
      </c>
      <c r="F151" s="342">
        <v>1</v>
      </c>
      <c r="G151" s="342">
        <v>0</v>
      </c>
      <c r="H151" s="342">
        <v>0</v>
      </c>
      <c r="I151" s="383">
        <v>257.8</v>
      </c>
      <c r="J151" s="342">
        <f t="shared" si="12"/>
        <v>42731848.922495902</v>
      </c>
      <c r="K151" s="26">
        <v>141.68911243372889</v>
      </c>
      <c r="L151" s="11">
        <f t="shared" si="11"/>
        <v>54951.876650000166</v>
      </c>
      <c r="M151" s="156">
        <f t="shared" si="15"/>
        <v>320</v>
      </c>
      <c r="N151" s="11">
        <f t="shared" si="13"/>
        <v>-304920.30827333033</v>
      </c>
      <c r="O151" s="152">
        <f t="shared" si="14"/>
        <v>7.0851114924148839E-3</v>
      </c>
      <c r="Q151" s="145"/>
    </row>
    <row r="152" spans="1:17" x14ac:dyDescent="0.2">
      <c r="A152" s="341">
        <v>40695</v>
      </c>
      <c r="B152" s="342">
        <v>42724253.846153848</v>
      </c>
      <c r="C152" s="343">
        <v>65.7</v>
      </c>
      <c r="D152" s="343">
        <v>22.2</v>
      </c>
      <c r="E152" s="342">
        <v>30</v>
      </c>
      <c r="F152" s="342">
        <v>0</v>
      </c>
      <c r="G152" s="342">
        <v>0</v>
      </c>
      <c r="H152" s="342">
        <v>0</v>
      </c>
      <c r="I152" s="383">
        <v>261.8</v>
      </c>
      <c r="J152" s="342">
        <f t="shared" si="12"/>
        <v>42060477.01744926</v>
      </c>
      <c r="K152" s="26">
        <v>141.94629276070989</v>
      </c>
      <c r="L152" s="11">
        <f t="shared" si="11"/>
        <v>54961.835000000166</v>
      </c>
      <c r="M152" s="156">
        <f t="shared" si="15"/>
        <v>352</v>
      </c>
      <c r="N152" s="11">
        <f t="shared" si="13"/>
        <v>-663776.82870458812</v>
      </c>
      <c r="O152" s="152">
        <f t="shared" si="14"/>
        <v>1.5536300086007074E-2</v>
      </c>
      <c r="Q152" s="145"/>
    </row>
    <row r="153" spans="1:17" x14ac:dyDescent="0.2">
      <c r="A153" s="341">
        <v>40725</v>
      </c>
      <c r="B153" s="342">
        <v>47506515.384615384</v>
      </c>
      <c r="C153" s="343">
        <v>2.9</v>
      </c>
      <c r="D153" s="343">
        <v>85.4</v>
      </c>
      <c r="E153" s="343">
        <v>31</v>
      </c>
      <c r="F153" s="342">
        <v>0</v>
      </c>
      <c r="G153" s="342">
        <v>0</v>
      </c>
      <c r="H153" s="342">
        <v>0</v>
      </c>
      <c r="I153" s="383">
        <v>264.60000000000002</v>
      </c>
      <c r="J153" s="342">
        <f t="shared" si="12"/>
        <v>46910798.942681216</v>
      </c>
      <c r="K153" s="26">
        <v>142.20393989646294</v>
      </c>
      <c r="L153" s="11">
        <f t="shared" si="11"/>
        <v>54971.793350000167</v>
      </c>
      <c r="M153" s="44">
        <f t="shared" si="15"/>
        <v>336</v>
      </c>
      <c r="N153" s="11">
        <f t="shared" si="13"/>
        <v>-595716.44193416834</v>
      </c>
      <c r="O153" s="152">
        <f t="shared" si="14"/>
        <v>1.2539678760086168E-2</v>
      </c>
      <c r="Q153" s="145"/>
    </row>
    <row r="154" spans="1:17" x14ac:dyDescent="0.2">
      <c r="A154" s="341">
        <v>40756</v>
      </c>
      <c r="B154" s="342">
        <v>45624407.692307696</v>
      </c>
      <c r="C154" s="343">
        <v>16.7</v>
      </c>
      <c r="D154" s="343">
        <v>45.9</v>
      </c>
      <c r="E154" s="342">
        <v>31</v>
      </c>
      <c r="F154" s="342">
        <v>0</v>
      </c>
      <c r="G154" s="342">
        <v>0</v>
      </c>
      <c r="H154" s="342">
        <v>0</v>
      </c>
      <c r="I154" s="383">
        <v>266.60000000000002</v>
      </c>
      <c r="J154" s="342">
        <f t="shared" si="12"/>
        <v>44110607.633845188</v>
      </c>
      <c r="K154" s="26">
        <v>142.46205468829399</v>
      </c>
      <c r="L154" s="11">
        <f t="shared" si="11"/>
        <v>54981.751700000168</v>
      </c>
      <c r="M154" s="156">
        <f>(31-8-1)*16</f>
        <v>352</v>
      </c>
      <c r="N154" s="11">
        <f t="shared" si="13"/>
        <v>-1513800.058462508</v>
      </c>
      <c r="O154" s="152">
        <f t="shared" si="14"/>
        <v>3.3179610104127129E-2</v>
      </c>
      <c r="Q154" s="145"/>
    </row>
    <row r="155" spans="1:17" x14ac:dyDescent="0.2">
      <c r="A155" s="341">
        <v>40787</v>
      </c>
      <c r="B155" s="342">
        <v>42233746.15384616</v>
      </c>
      <c r="C155" s="343">
        <v>116.4</v>
      </c>
      <c r="D155" s="343">
        <v>17.899999999999999</v>
      </c>
      <c r="E155" s="342">
        <v>30</v>
      </c>
      <c r="F155" s="342">
        <v>1</v>
      </c>
      <c r="G155" s="342">
        <v>0</v>
      </c>
      <c r="H155" s="342">
        <v>0</v>
      </c>
      <c r="I155" s="383">
        <v>266.39999999999998</v>
      </c>
      <c r="J155" s="342">
        <f t="shared" si="12"/>
        <v>41359555.934156008</v>
      </c>
      <c r="K155" s="26">
        <v>142.72063798504701</v>
      </c>
      <c r="L155" s="11">
        <f t="shared" si="11"/>
        <v>54991.710050000169</v>
      </c>
      <c r="M155" s="156">
        <f>(30-8)*16</f>
        <v>352</v>
      </c>
      <c r="N155" s="11">
        <f t="shared" si="13"/>
        <v>-874190.21969015151</v>
      </c>
      <c r="O155" s="152">
        <f t="shared" si="14"/>
        <v>2.0698855756382872E-2</v>
      </c>
      <c r="Q155" s="145"/>
    </row>
    <row r="156" spans="1:17" x14ac:dyDescent="0.2">
      <c r="A156" s="341">
        <v>40817</v>
      </c>
      <c r="B156" s="342">
        <v>43980523.07692308</v>
      </c>
      <c r="C156" s="343">
        <v>295.3</v>
      </c>
      <c r="D156" s="343">
        <v>1.5</v>
      </c>
      <c r="E156" s="342">
        <v>31</v>
      </c>
      <c r="F156" s="342">
        <v>1</v>
      </c>
      <c r="G156" s="342">
        <v>0</v>
      </c>
      <c r="H156" s="342">
        <v>0</v>
      </c>
      <c r="I156" s="383">
        <v>264.60000000000002</v>
      </c>
      <c r="J156" s="342">
        <f t="shared" si="12"/>
        <v>45577797.840672202</v>
      </c>
      <c r="K156" s="26">
        <v>142.97969063710661</v>
      </c>
      <c r="L156" s="11">
        <f t="shared" si="11"/>
        <v>55001.66840000017</v>
      </c>
      <c r="M156" s="156">
        <f>(31-10-1)*16</f>
        <v>320</v>
      </c>
      <c r="N156" s="11">
        <f t="shared" si="13"/>
        <v>1597274.7637491226</v>
      </c>
      <c r="O156" s="152">
        <f t="shared" si="14"/>
        <v>3.6317775506113183E-2</v>
      </c>
      <c r="Q156" s="145"/>
    </row>
    <row r="157" spans="1:17" x14ac:dyDescent="0.2">
      <c r="A157" s="341">
        <v>40848</v>
      </c>
      <c r="B157" s="342">
        <v>47499561.538461544</v>
      </c>
      <c r="C157" s="343">
        <v>464.8</v>
      </c>
      <c r="D157" s="343">
        <v>0</v>
      </c>
      <c r="E157" s="342">
        <v>30</v>
      </c>
      <c r="F157" s="342">
        <v>1</v>
      </c>
      <c r="G157" s="342">
        <v>0</v>
      </c>
      <c r="H157" s="342">
        <v>0</v>
      </c>
      <c r="I157" s="383">
        <v>261.10000000000002</v>
      </c>
      <c r="J157" s="342">
        <f t="shared" si="12"/>
        <v>48413439.423954725</v>
      </c>
      <c r="K157" s="26">
        <v>143.23921349640105</v>
      </c>
      <c r="L157" s="11">
        <f t="shared" si="11"/>
        <v>55011.62675000017</v>
      </c>
      <c r="M157" s="156">
        <f>(30-8)*16</f>
        <v>352</v>
      </c>
      <c r="N157" s="11">
        <f t="shared" si="13"/>
        <v>913877.88549318165</v>
      </c>
      <c r="O157" s="152">
        <f t="shared" si="14"/>
        <v>1.9239712028777205E-2</v>
      </c>
      <c r="Q157" s="145"/>
    </row>
    <row r="158" spans="1:17" x14ac:dyDescent="0.2">
      <c r="A158" s="341">
        <v>40878</v>
      </c>
      <c r="B158" s="342">
        <v>55561307.692307696</v>
      </c>
      <c r="C158" s="343">
        <v>751.1</v>
      </c>
      <c r="D158" s="343">
        <v>0</v>
      </c>
      <c r="E158" s="342">
        <v>31</v>
      </c>
      <c r="F158" s="342">
        <v>0</v>
      </c>
      <c r="G158" s="342">
        <v>0</v>
      </c>
      <c r="H158" s="342">
        <v>0</v>
      </c>
      <c r="I158" s="383">
        <v>259.5</v>
      </c>
      <c r="J158" s="342">
        <f t="shared" si="12"/>
        <v>58477035.694160275</v>
      </c>
      <c r="K158" s="26">
        <v>143.49920741640472</v>
      </c>
      <c r="L158" s="11">
        <f t="shared" si="11"/>
        <v>55021.585100000171</v>
      </c>
      <c r="M158" s="156">
        <f>(31-9-1)*16</f>
        <v>336</v>
      </c>
      <c r="N158" s="11">
        <f t="shared" si="13"/>
        <v>2915728.0018525794</v>
      </c>
      <c r="O158" s="152">
        <f t="shared" si="14"/>
        <v>5.2477670576069856E-2</v>
      </c>
      <c r="Q158" s="145"/>
    </row>
    <row r="159" spans="1:17" x14ac:dyDescent="0.2">
      <c r="A159" s="341">
        <v>40909</v>
      </c>
      <c r="B159" s="342">
        <v>60440353.846153855</v>
      </c>
      <c r="C159" s="343">
        <v>855.4</v>
      </c>
      <c r="D159" s="343">
        <v>0</v>
      </c>
      <c r="E159" s="342">
        <v>31</v>
      </c>
      <c r="F159" s="342">
        <v>0</v>
      </c>
      <c r="G159" s="342">
        <v>1</v>
      </c>
      <c r="H159" s="342">
        <v>0</v>
      </c>
      <c r="I159" s="383">
        <v>255.9</v>
      </c>
      <c r="J159" s="342">
        <f t="shared" si="12"/>
        <v>58873917.041640379</v>
      </c>
      <c r="K159" s="26">
        <v>143.79479228853472</v>
      </c>
      <c r="L159" s="11">
        <f t="shared" si="11"/>
        <v>55031.543450000172</v>
      </c>
      <c r="M159" s="156">
        <f>(31-9-1)*16</f>
        <v>336</v>
      </c>
      <c r="N159" s="11">
        <f t="shared" si="13"/>
        <v>-1566436.8045134768</v>
      </c>
      <c r="O159" s="152">
        <f t="shared" si="14"/>
        <v>2.5917068726975322E-2</v>
      </c>
      <c r="Q159" s="145"/>
    </row>
    <row r="160" spans="1:17" x14ac:dyDescent="0.2">
      <c r="A160" s="341">
        <v>40940</v>
      </c>
      <c r="B160" s="342">
        <v>53240192.307692312</v>
      </c>
      <c r="C160" s="343">
        <v>717.6</v>
      </c>
      <c r="D160" s="343">
        <v>0</v>
      </c>
      <c r="E160" s="342">
        <v>29</v>
      </c>
      <c r="F160" s="342">
        <v>0</v>
      </c>
      <c r="G160" s="342">
        <v>1</v>
      </c>
      <c r="H160" s="342">
        <v>0</v>
      </c>
      <c r="I160" s="383">
        <v>252.9</v>
      </c>
      <c r="J160" s="342">
        <f t="shared" si="12"/>
        <v>53003940.613962054</v>
      </c>
      <c r="K160" s="26">
        <v>144.09098601710514</v>
      </c>
      <c r="L160" s="11">
        <f t="shared" si="11"/>
        <v>55041.501800000173</v>
      </c>
      <c r="M160" s="156">
        <f>(29-8)*16</f>
        <v>336</v>
      </c>
      <c r="N160" s="11">
        <f t="shared" si="13"/>
        <v>-236251.69373025745</v>
      </c>
      <c r="O160" s="152">
        <f t="shared" si="14"/>
        <v>4.4374688274017192E-3</v>
      </c>
      <c r="Q160" s="145"/>
    </row>
    <row r="161" spans="1:17" x14ac:dyDescent="0.2">
      <c r="A161" s="341">
        <v>40969</v>
      </c>
      <c r="B161" s="342">
        <v>51166853.846153848</v>
      </c>
      <c r="C161" s="343">
        <v>510.4</v>
      </c>
      <c r="D161" s="343">
        <v>0.7</v>
      </c>
      <c r="E161" s="342">
        <v>31</v>
      </c>
      <c r="F161" s="342">
        <v>1</v>
      </c>
      <c r="G161" s="342">
        <v>1</v>
      </c>
      <c r="H161" s="342">
        <v>0</v>
      </c>
      <c r="I161" s="383">
        <v>250.6</v>
      </c>
      <c r="J161" s="342">
        <f t="shared" si="12"/>
        <v>48265257.269737303</v>
      </c>
      <c r="K161" s="26">
        <v>144.38778985626058</v>
      </c>
      <c r="L161" s="11">
        <f t="shared" si="11"/>
        <v>55051.460150000174</v>
      </c>
      <c r="M161" s="156">
        <f>(31-9)*16</f>
        <v>352</v>
      </c>
      <c r="N161" s="11">
        <f t="shared" si="13"/>
        <v>-2901596.5764165446</v>
      </c>
      <c r="O161" s="152">
        <f t="shared" si="14"/>
        <v>5.6708520424979272E-2</v>
      </c>
      <c r="Q161" s="145"/>
    </row>
    <row r="162" spans="1:17" x14ac:dyDescent="0.2">
      <c r="A162" s="341">
        <v>41000</v>
      </c>
      <c r="B162" s="342">
        <v>44760523.07692308</v>
      </c>
      <c r="C162" s="343">
        <v>425.7</v>
      </c>
      <c r="D162" s="343">
        <v>0</v>
      </c>
      <c r="E162" s="342">
        <v>30</v>
      </c>
      <c r="F162" s="342">
        <v>1</v>
      </c>
      <c r="G162" s="342">
        <v>1</v>
      </c>
      <c r="H162" s="342">
        <v>0</v>
      </c>
      <c r="I162" s="383">
        <v>254.8</v>
      </c>
      <c r="J162" s="342">
        <f t="shared" si="12"/>
        <v>45107672.920620069</v>
      </c>
      <c r="K162" s="26">
        <v>144.68520506272893</v>
      </c>
      <c r="L162" s="11">
        <f t="shared" si="11"/>
        <v>55061.418500000174</v>
      </c>
      <c r="M162" s="156">
        <f>(30-9)*16</f>
        <v>336</v>
      </c>
      <c r="N162" s="11">
        <f t="shared" si="13"/>
        <v>347149.84369698912</v>
      </c>
      <c r="O162" s="152">
        <f t="shared" si="14"/>
        <v>7.7557146305103639E-3</v>
      </c>
      <c r="Q162" s="145"/>
    </row>
    <row r="163" spans="1:17" x14ac:dyDescent="0.2">
      <c r="A163" s="341">
        <v>41030</v>
      </c>
      <c r="B163" s="342">
        <v>41974454.545454547</v>
      </c>
      <c r="C163" s="343">
        <v>138.19999999999999</v>
      </c>
      <c r="D163" s="343">
        <v>13.8</v>
      </c>
      <c r="E163" s="342">
        <v>31</v>
      </c>
      <c r="F163" s="342">
        <v>1</v>
      </c>
      <c r="G163" s="342">
        <v>1</v>
      </c>
      <c r="H163" s="342">
        <v>0</v>
      </c>
      <c r="I163" s="383">
        <v>260.8</v>
      </c>
      <c r="J163" s="342">
        <f t="shared" si="12"/>
        <v>40421009.298216745</v>
      </c>
      <c r="K163" s="26">
        <v>144.98323289582677</v>
      </c>
      <c r="L163" s="11">
        <f t="shared" si="11"/>
        <v>55071.376850000175</v>
      </c>
      <c r="M163" s="156">
        <f>(31-8-1)*16</f>
        <v>352</v>
      </c>
      <c r="N163" s="11">
        <f t="shared" si="13"/>
        <v>-1553445.2472378016</v>
      </c>
      <c r="O163" s="152">
        <f t="shared" si="14"/>
        <v>3.7009301587363347E-2</v>
      </c>
      <c r="Q163" s="145"/>
    </row>
    <row r="164" spans="1:17" x14ac:dyDescent="0.2">
      <c r="A164" s="341">
        <v>41061</v>
      </c>
      <c r="B164" s="342">
        <v>43023081.909090899</v>
      </c>
      <c r="C164" s="343">
        <v>50.5</v>
      </c>
      <c r="D164" s="343">
        <v>49.1</v>
      </c>
      <c r="E164" s="342">
        <v>30</v>
      </c>
      <c r="F164" s="342">
        <v>0</v>
      </c>
      <c r="G164" s="342">
        <v>1</v>
      </c>
      <c r="H164" s="342">
        <v>0</v>
      </c>
      <c r="I164" s="383">
        <v>267.7</v>
      </c>
      <c r="J164" s="342">
        <f t="shared" si="12"/>
        <v>42044567.137700543</v>
      </c>
      <c r="K164" s="26">
        <v>145.28187461746467</v>
      </c>
      <c r="L164" s="11">
        <f t="shared" si="11"/>
        <v>55081.335200000176</v>
      </c>
      <c r="M164" s="156">
        <f>(30-9)*16</f>
        <v>336</v>
      </c>
      <c r="N164" s="11">
        <f t="shared" si="13"/>
        <v>-978514.77139035612</v>
      </c>
      <c r="O164" s="152">
        <f t="shared" si="14"/>
        <v>2.2743948782144155E-2</v>
      </c>
      <c r="Q164" s="145"/>
    </row>
    <row r="165" spans="1:17" x14ac:dyDescent="0.2">
      <c r="A165" s="341">
        <v>41091</v>
      </c>
      <c r="B165" s="342">
        <v>46297145.545454502</v>
      </c>
      <c r="C165" s="343">
        <v>2.2000000000000002</v>
      </c>
      <c r="D165" s="343">
        <v>78.3</v>
      </c>
      <c r="E165" s="342">
        <v>31</v>
      </c>
      <c r="F165" s="342">
        <v>0</v>
      </c>
      <c r="G165" s="342">
        <v>1</v>
      </c>
      <c r="H165" s="342">
        <v>0</v>
      </c>
      <c r="I165" s="383">
        <v>268.89999999999998</v>
      </c>
      <c r="J165" s="342">
        <f t="shared" si="12"/>
        <v>44415960.702192441</v>
      </c>
      <c r="K165" s="26">
        <v>145.58113149215245</v>
      </c>
      <c r="L165" s="11">
        <f t="shared" si="11"/>
        <v>55091.293550000177</v>
      </c>
      <c r="M165" s="156">
        <f>(31-9-1)*16</f>
        <v>336</v>
      </c>
      <c r="N165" s="11">
        <f t="shared" si="13"/>
        <v>-1881184.8432620615</v>
      </c>
      <c r="O165" s="152">
        <f t="shared" si="14"/>
        <v>4.0632847254375881E-2</v>
      </c>
      <c r="Q165" s="145"/>
    </row>
    <row r="166" spans="1:17" x14ac:dyDescent="0.2">
      <c r="A166" s="341">
        <v>41122</v>
      </c>
      <c r="B166" s="342">
        <v>43563745.190909103</v>
      </c>
      <c r="C166" s="343">
        <v>27</v>
      </c>
      <c r="D166" s="343">
        <v>44.9</v>
      </c>
      <c r="E166" s="342">
        <v>31</v>
      </c>
      <c r="F166" s="342">
        <v>0</v>
      </c>
      <c r="G166" s="342">
        <v>1</v>
      </c>
      <c r="H166" s="342">
        <v>0</v>
      </c>
      <c r="I166" s="383">
        <v>265.5</v>
      </c>
      <c r="J166" s="342">
        <f t="shared" si="12"/>
        <v>42171359.585363202</v>
      </c>
      <c r="K166" s="26">
        <v>145.88100478700474</v>
      </c>
      <c r="L166" s="11">
        <f t="shared" si="11"/>
        <v>55101.251900000178</v>
      </c>
      <c r="M166" s="156">
        <f>(31-8-1)*16</f>
        <v>352</v>
      </c>
      <c r="N166" s="11">
        <f t="shared" si="13"/>
        <v>-1392385.6055459008</v>
      </c>
      <c r="O166" s="152">
        <f t="shared" si="14"/>
        <v>3.1962027127007991E-2</v>
      </c>
      <c r="Q166" s="145"/>
    </row>
    <row r="167" spans="1:17" x14ac:dyDescent="0.2">
      <c r="A167" s="341">
        <v>41153</v>
      </c>
      <c r="B167" s="342">
        <v>40969381.861818202</v>
      </c>
      <c r="C167" s="343">
        <v>163</v>
      </c>
      <c r="D167" s="343">
        <v>12.4</v>
      </c>
      <c r="E167" s="342">
        <v>30</v>
      </c>
      <c r="F167" s="342">
        <v>1</v>
      </c>
      <c r="G167" s="342">
        <v>1</v>
      </c>
      <c r="H167" s="342">
        <v>0</v>
      </c>
      <c r="I167" s="383">
        <v>255.6</v>
      </c>
      <c r="J167" s="342">
        <f t="shared" si="12"/>
        <v>39570037.960048467</v>
      </c>
      <c r="K167" s="26">
        <v>146.18149577174611</v>
      </c>
      <c r="L167" s="11">
        <f t="shared" si="11"/>
        <v>55111.210250000178</v>
      </c>
      <c r="M167" s="156">
        <f>(30-10-1)*16</f>
        <v>304</v>
      </c>
      <c r="N167" s="11">
        <f t="shared" si="13"/>
        <v>-1399343.9017697349</v>
      </c>
      <c r="O167" s="152">
        <f t="shared" si="14"/>
        <v>3.415584610208304E-2</v>
      </c>
      <c r="Q167" s="145"/>
    </row>
    <row r="168" spans="1:17" x14ac:dyDescent="0.2">
      <c r="A168" s="341">
        <v>41183</v>
      </c>
      <c r="B168" s="342">
        <v>43802874.826363601</v>
      </c>
      <c r="C168" s="343">
        <v>331</v>
      </c>
      <c r="D168" s="343">
        <v>0</v>
      </c>
      <c r="E168" s="342">
        <v>31</v>
      </c>
      <c r="F168" s="342">
        <v>1</v>
      </c>
      <c r="G168" s="342">
        <v>1</v>
      </c>
      <c r="H168" s="342">
        <v>0</v>
      </c>
      <c r="I168" s="383">
        <v>248.4</v>
      </c>
      <c r="J168" s="342">
        <f t="shared" si="12"/>
        <v>43623522.850952581</v>
      </c>
      <c r="K168" s="26">
        <v>146.48260571871663</v>
      </c>
      <c r="L168" s="11">
        <f t="shared" si="11"/>
        <v>55121.168600000179</v>
      </c>
      <c r="M168" s="156">
        <f>(31-8-1)*16</f>
        <v>352</v>
      </c>
      <c r="N168" s="11">
        <f t="shared" si="13"/>
        <v>-179351.97541102022</v>
      </c>
      <c r="O168" s="152">
        <f t="shared" si="14"/>
        <v>4.0945252137440484E-3</v>
      </c>
      <c r="Q168" s="145"/>
    </row>
    <row r="169" spans="1:17" x14ac:dyDescent="0.2">
      <c r="A169" s="341">
        <v>41214</v>
      </c>
      <c r="B169" s="342">
        <v>48147860.479999997</v>
      </c>
      <c r="C169" s="343">
        <v>549.70000000000005</v>
      </c>
      <c r="D169" s="343">
        <v>0</v>
      </c>
      <c r="E169" s="342">
        <v>30</v>
      </c>
      <c r="F169" s="342">
        <v>1</v>
      </c>
      <c r="G169" s="342">
        <v>1</v>
      </c>
      <c r="H169" s="342">
        <v>0</v>
      </c>
      <c r="I169" s="383">
        <v>245.6</v>
      </c>
      <c r="J169" s="342">
        <f t="shared" si="12"/>
        <v>47842914.573387645</v>
      </c>
      <c r="K169" s="26">
        <v>146.7843359028771</v>
      </c>
      <c r="L169" s="11">
        <f t="shared" si="11"/>
        <v>55131.12695000018</v>
      </c>
      <c r="M169" s="156">
        <f>(30-8)*16</f>
        <v>352</v>
      </c>
      <c r="N169" s="11">
        <f t="shared" si="13"/>
        <v>-304945.90661235154</v>
      </c>
      <c r="O169" s="152">
        <f t="shared" si="14"/>
        <v>6.3335297471633686E-3</v>
      </c>
      <c r="Q169" s="145"/>
    </row>
    <row r="170" spans="1:17" x14ac:dyDescent="0.2">
      <c r="A170" s="341">
        <v>41244</v>
      </c>
      <c r="B170" s="342">
        <v>55226225.239999995</v>
      </c>
      <c r="C170" s="343">
        <v>770.6</v>
      </c>
      <c r="D170" s="343">
        <v>0</v>
      </c>
      <c r="E170" s="342">
        <v>31</v>
      </c>
      <c r="F170" s="342">
        <v>0</v>
      </c>
      <c r="G170" s="342">
        <v>1</v>
      </c>
      <c r="H170" s="342">
        <v>0</v>
      </c>
      <c r="I170" s="383">
        <v>247.4</v>
      </c>
      <c r="J170" s="342">
        <f t="shared" si="12"/>
        <v>56405158.903999113</v>
      </c>
      <c r="K170" s="26">
        <v>147.08668760181482</v>
      </c>
      <c r="L170" s="11">
        <f t="shared" si="11"/>
        <v>55141.085300000181</v>
      </c>
      <c r="M170" s="156">
        <f>(31-10-1)*16</f>
        <v>320</v>
      </c>
      <c r="N170" s="11">
        <f t="shared" si="13"/>
        <v>1178933.6639991179</v>
      </c>
      <c r="O170" s="152">
        <f t="shared" si="14"/>
        <v>2.1347351894426127E-2</v>
      </c>
      <c r="Q170" s="145"/>
    </row>
    <row r="171" spans="1:17" x14ac:dyDescent="0.2">
      <c r="A171" s="341">
        <v>41275</v>
      </c>
      <c r="B171" s="342">
        <v>60327761.510000005</v>
      </c>
      <c r="C171" s="343">
        <v>892.80000000000007</v>
      </c>
      <c r="D171" s="343">
        <v>0</v>
      </c>
      <c r="E171" s="342">
        <v>31</v>
      </c>
      <c r="F171" s="342">
        <v>0</v>
      </c>
      <c r="G171" s="342">
        <v>1</v>
      </c>
      <c r="H171" s="342">
        <v>0</v>
      </c>
      <c r="I171" s="383">
        <v>247</v>
      </c>
      <c r="J171" s="342">
        <f t="shared" si="12"/>
        <v>59451186.048101239</v>
      </c>
      <c r="K171" s="26"/>
      <c r="L171" s="11"/>
      <c r="N171" s="11">
        <f t="shared" si="13"/>
        <v>-876575.46189876646</v>
      </c>
      <c r="O171" s="152">
        <f t="shared" si="14"/>
        <v>1.4530216934262747E-2</v>
      </c>
      <c r="Q171" s="145"/>
    </row>
    <row r="172" spans="1:17" x14ac:dyDescent="0.2">
      <c r="A172" s="341">
        <v>41306</v>
      </c>
      <c r="B172" s="342">
        <v>53600343.009999998</v>
      </c>
      <c r="C172" s="343">
        <v>801.40000000000009</v>
      </c>
      <c r="D172" s="343">
        <v>0</v>
      </c>
      <c r="E172" s="342">
        <v>28</v>
      </c>
      <c r="F172" s="342">
        <v>0</v>
      </c>
      <c r="G172" s="342">
        <v>1</v>
      </c>
      <c r="H172" s="342">
        <v>0</v>
      </c>
      <c r="I172" s="383">
        <v>247.3</v>
      </c>
      <c r="J172" s="342">
        <f t="shared" si="12"/>
        <v>53729641.361800738</v>
      </c>
      <c r="K172" s="26"/>
      <c r="L172" s="11"/>
      <c r="N172" s="11">
        <f t="shared" si="13"/>
        <v>129298.35180073977</v>
      </c>
      <c r="O172" s="152">
        <f t="shared" si="14"/>
        <v>2.4122672456893999E-3</v>
      </c>
      <c r="Q172" s="145"/>
    </row>
    <row r="173" spans="1:17" x14ac:dyDescent="0.2">
      <c r="A173" s="341">
        <v>41334</v>
      </c>
      <c r="B173" s="342">
        <v>52121235.689999998</v>
      </c>
      <c r="C173" s="343">
        <v>685.19999999999982</v>
      </c>
      <c r="D173" s="343">
        <v>0</v>
      </c>
      <c r="E173" s="342">
        <v>31</v>
      </c>
      <c r="F173" s="342">
        <v>1</v>
      </c>
      <c r="G173" s="342">
        <v>1</v>
      </c>
      <c r="H173" s="342">
        <v>0</v>
      </c>
      <c r="I173" s="383">
        <v>248.7</v>
      </c>
      <c r="J173" s="342">
        <f t="shared" si="12"/>
        <v>52511536.610223606</v>
      </c>
      <c r="K173" s="26"/>
      <c r="L173" s="11"/>
      <c r="N173" s="11">
        <f t="shared" si="13"/>
        <v>390300.92022360861</v>
      </c>
      <c r="O173" s="152">
        <f t="shared" si="14"/>
        <v>7.4883282227802576E-3</v>
      </c>
      <c r="Q173" s="145"/>
    </row>
    <row r="174" spans="1:17" x14ac:dyDescent="0.2">
      <c r="A174" s="341">
        <v>41365</v>
      </c>
      <c r="B174" s="342">
        <v>46644026.119999997</v>
      </c>
      <c r="C174" s="343">
        <v>496.25000000000011</v>
      </c>
      <c r="D174" s="343">
        <v>0</v>
      </c>
      <c r="E174" s="342">
        <v>30</v>
      </c>
      <c r="F174" s="342">
        <v>1</v>
      </c>
      <c r="G174" s="342">
        <v>1</v>
      </c>
      <c r="H174" s="342">
        <v>0</v>
      </c>
      <c r="I174" s="383">
        <v>250.9</v>
      </c>
      <c r="J174" s="342">
        <f t="shared" si="12"/>
        <v>46717857.353265427</v>
      </c>
      <c r="K174" s="26"/>
      <c r="L174" s="11"/>
      <c r="N174" s="11">
        <f t="shared" si="13"/>
        <v>73831.233265429735</v>
      </c>
      <c r="O174" s="152">
        <f t="shared" si="14"/>
        <v>1.5828657902618836E-3</v>
      </c>
      <c r="Q174" s="145"/>
    </row>
    <row r="175" spans="1:17" x14ac:dyDescent="0.2">
      <c r="A175" s="341">
        <v>41395</v>
      </c>
      <c r="B175" s="342">
        <v>41426399.170000002</v>
      </c>
      <c r="C175" s="343">
        <v>198.95</v>
      </c>
      <c r="D175" s="343">
        <v>9.6999999999999993</v>
      </c>
      <c r="E175" s="342">
        <v>31</v>
      </c>
      <c r="F175" s="342">
        <v>1</v>
      </c>
      <c r="G175" s="342">
        <v>1</v>
      </c>
      <c r="H175" s="342">
        <v>0</v>
      </c>
      <c r="I175" s="383">
        <v>254.9</v>
      </c>
      <c r="J175" s="342">
        <f t="shared" si="12"/>
        <v>41369788.595729187</v>
      </c>
      <c r="K175" s="26"/>
      <c r="L175" s="11"/>
      <c r="N175" s="11">
        <f t="shared" si="13"/>
        <v>-56610.574270814657</v>
      </c>
      <c r="O175" s="152">
        <f t="shared" si="14"/>
        <v>1.3665337901685327E-3</v>
      </c>
      <c r="Q175" s="145"/>
    </row>
    <row r="176" spans="1:17" x14ac:dyDescent="0.2">
      <c r="A176" s="341">
        <v>41426</v>
      </c>
      <c r="B176" s="342">
        <v>39734886.469999999</v>
      </c>
      <c r="C176" s="343">
        <v>102.54999999999998</v>
      </c>
      <c r="D176" s="343">
        <v>15.000000000000004</v>
      </c>
      <c r="E176" s="342">
        <v>30</v>
      </c>
      <c r="F176" s="342">
        <v>0</v>
      </c>
      <c r="G176" s="342">
        <v>1</v>
      </c>
      <c r="H176" s="342">
        <v>0</v>
      </c>
      <c r="I176" s="383">
        <v>257.3</v>
      </c>
      <c r="J176" s="342">
        <f t="shared" si="12"/>
        <v>40142541.509110413</v>
      </c>
      <c r="K176" s="26"/>
      <c r="L176" s="11"/>
      <c r="N176" s="11">
        <f t="shared" si="13"/>
        <v>407655.03911041468</v>
      </c>
      <c r="O176" s="152">
        <f t="shared" si="14"/>
        <v>1.025937344550351E-2</v>
      </c>
      <c r="Q176" s="145"/>
    </row>
    <row r="177" spans="1:17" x14ac:dyDescent="0.2">
      <c r="A177" s="341">
        <v>41456</v>
      </c>
      <c r="B177" s="342">
        <v>44872689.950000003</v>
      </c>
      <c r="C177" s="343">
        <v>39.149999999999984</v>
      </c>
      <c r="D177" s="343">
        <v>52.79999999999999</v>
      </c>
      <c r="E177" s="342">
        <v>31</v>
      </c>
      <c r="F177" s="342">
        <v>0</v>
      </c>
      <c r="G177" s="342">
        <v>1</v>
      </c>
      <c r="H177" s="342">
        <v>0</v>
      </c>
      <c r="I177" s="383">
        <v>259.2</v>
      </c>
      <c r="J177" s="342">
        <f t="shared" si="12"/>
        <v>42866417.688547917</v>
      </c>
      <c r="K177" s="26"/>
      <c r="L177" s="11"/>
      <c r="N177" s="11">
        <f t="shared" si="13"/>
        <v>-2006272.2614520863</v>
      </c>
      <c r="O177" s="152">
        <f t="shared" si="14"/>
        <v>4.4710318540912126E-2</v>
      </c>
      <c r="Q177" s="145"/>
    </row>
    <row r="178" spans="1:17" x14ac:dyDescent="0.2">
      <c r="A178" s="341">
        <v>41487</v>
      </c>
      <c r="B178" s="342">
        <v>42128550.090000004</v>
      </c>
      <c r="C178" s="343">
        <v>49.000000000000014</v>
      </c>
      <c r="D178" s="343">
        <v>23.449999999999992</v>
      </c>
      <c r="E178" s="342">
        <v>31</v>
      </c>
      <c r="F178" s="342">
        <v>0</v>
      </c>
      <c r="G178" s="342">
        <v>1</v>
      </c>
      <c r="H178" s="342">
        <v>0</v>
      </c>
      <c r="I178" s="383">
        <v>258.2</v>
      </c>
      <c r="J178" s="342">
        <f t="shared" si="12"/>
        <v>40675104.845598429</v>
      </c>
      <c r="K178" s="26"/>
      <c r="L178" s="11"/>
      <c r="N178" s="11">
        <f t="shared" si="13"/>
        <v>-1453445.2444015741</v>
      </c>
      <c r="O178" s="152">
        <f t="shared" si="14"/>
        <v>3.4500243689767437E-2</v>
      </c>
      <c r="Q178" s="145"/>
    </row>
    <row r="179" spans="1:17" x14ac:dyDescent="0.2">
      <c r="A179" s="341">
        <v>41518</v>
      </c>
      <c r="B179" s="342">
        <v>39409892.280000001</v>
      </c>
      <c r="C179" s="343">
        <v>181.75</v>
      </c>
      <c r="D179" s="343">
        <v>1.6499999999999986</v>
      </c>
      <c r="E179" s="342">
        <v>30</v>
      </c>
      <c r="F179" s="342">
        <v>1</v>
      </c>
      <c r="G179" s="342">
        <v>1</v>
      </c>
      <c r="H179" s="342">
        <v>0</v>
      </c>
      <c r="I179" s="383">
        <v>253.8</v>
      </c>
      <c r="J179" s="342">
        <f t="shared" si="12"/>
        <v>39088893.261361055</v>
      </c>
      <c r="K179" s="26"/>
      <c r="L179" s="11"/>
      <c r="N179" s="11">
        <f t="shared" si="13"/>
        <v>-320999.01863894612</v>
      </c>
      <c r="O179" s="152">
        <f t="shared" si="14"/>
        <v>8.1451381891203215E-3</v>
      </c>
      <c r="Q179" s="145"/>
    </row>
    <row r="180" spans="1:17" x14ac:dyDescent="0.2">
      <c r="A180" s="341">
        <v>41548</v>
      </c>
      <c r="B180" s="342">
        <v>43095283.710000001</v>
      </c>
      <c r="C180" s="343">
        <v>321.95</v>
      </c>
      <c r="D180" s="343">
        <v>0</v>
      </c>
      <c r="E180" s="342">
        <v>31</v>
      </c>
      <c r="F180" s="342">
        <v>1</v>
      </c>
      <c r="G180" s="342">
        <v>1</v>
      </c>
      <c r="H180" s="342">
        <v>0</v>
      </c>
      <c r="I180" s="383">
        <v>253.6</v>
      </c>
      <c r="J180" s="342">
        <f t="shared" si="12"/>
        <v>43607038.913492143</v>
      </c>
      <c r="K180" s="26"/>
      <c r="L180" s="11"/>
      <c r="N180" s="11">
        <f t="shared" si="13"/>
        <v>511755.20349214226</v>
      </c>
      <c r="O180" s="152">
        <f t="shared" si="14"/>
        <v>1.1874970053240248E-2</v>
      </c>
      <c r="Q180" s="145"/>
    </row>
    <row r="181" spans="1:17" x14ac:dyDescent="0.2">
      <c r="A181" s="341">
        <v>41579</v>
      </c>
      <c r="B181" s="342">
        <v>49774197.399999999</v>
      </c>
      <c r="C181" s="343">
        <v>625.75</v>
      </c>
      <c r="D181" s="343">
        <v>0</v>
      </c>
      <c r="E181" s="342">
        <v>30</v>
      </c>
      <c r="F181" s="342">
        <v>1</v>
      </c>
      <c r="G181" s="342">
        <v>1</v>
      </c>
      <c r="H181" s="342">
        <v>0</v>
      </c>
      <c r="I181" s="383">
        <v>252.5</v>
      </c>
      <c r="J181" s="342">
        <f t="shared" si="12"/>
        <v>50027699.309000067</v>
      </c>
      <c r="K181" s="26"/>
      <c r="L181" s="11"/>
      <c r="N181" s="11">
        <f t="shared" si="13"/>
        <v>253501.9090000689</v>
      </c>
      <c r="O181" s="152">
        <f t="shared" si="14"/>
        <v>5.0930386071894535E-3</v>
      </c>
      <c r="Q181" s="145"/>
    </row>
    <row r="182" spans="1:17" x14ac:dyDescent="0.2">
      <c r="A182" s="341">
        <v>41609</v>
      </c>
      <c r="B182" s="342">
        <v>60036819.376666702</v>
      </c>
      <c r="C182" s="343">
        <v>964.3</v>
      </c>
      <c r="D182" s="343">
        <v>0</v>
      </c>
      <c r="E182" s="342">
        <v>31</v>
      </c>
      <c r="F182" s="342">
        <v>0</v>
      </c>
      <c r="G182" s="342">
        <v>1</v>
      </c>
      <c r="H182" s="342">
        <v>0</v>
      </c>
      <c r="I182" s="383">
        <v>255</v>
      </c>
      <c r="J182" s="342">
        <f t="shared" si="12"/>
        <v>61566438.999159247</v>
      </c>
      <c r="K182" s="26"/>
      <c r="L182" s="11"/>
      <c r="N182" s="11">
        <f t="shared" si="13"/>
        <v>1529619.6224925444</v>
      </c>
      <c r="O182" s="152">
        <f t="shared" si="14"/>
        <v>2.5478025624505862E-2</v>
      </c>
      <c r="Q182" s="145"/>
    </row>
    <row r="183" spans="1:17" x14ac:dyDescent="0.2">
      <c r="A183" s="341">
        <v>41640</v>
      </c>
      <c r="B183" s="383">
        <v>63463232.333333299</v>
      </c>
      <c r="C183" s="384">
        <f>'[12]eng-daily-01012014-12312014 (2)'!$M$56</f>
        <v>1024.8</v>
      </c>
      <c r="D183" s="384">
        <f>'[12]eng-daily-01012014-12312014 (2)'!$P$56</f>
        <v>0</v>
      </c>
      <c r="E183" s="383">
        <v>31</v>
      </c>
      <c r="F183" s="383">
        <v>0</v>
      </c>
      <c r="G183" s="383">
        <v>1</v>
      </c>
      <c r="H183" s="342">
        <v>0</v>
      </c>
      <c r="I183" s="383">
        <v>251.9</v>
      </c>
      <c r="J183" s="342">
        <f t="shared" si="12"/>
        <v>62957134.738308012</v>
      </c>
      <c r="K183" s="26"/>
      <c r="L183" s="11"/>
      <c r="N183" s="11">
        <f t="shared" ref="N183:N194" si="16">J183-B183</f>
        <v>-506097.59502528608</v>
      </c>
      <c r="O183" s="152">
        <f t="shared" ref="O183:O194" si="17">ABS(N183/B183)</f>
        <v>7.9746583402349712E-3</v>
      </c>
      <c r="Q183" s="145"/>
    </row>
    <row r="184" spans="1:17" x14ac:dyDescent="0.2">
      <c r="A184" s="341">
        <v>41671</v>
      </c>
      <c r="B184" s="383">
        <v>54070343</v>
      </c>
      <c r="C184" s="384">
        <f>'[12]eng-daily-01012014-12312014 (2)'!$M$85</f>
        <v>883.40000000000009</v>
      </c>
      <c r="D184" s="384">
        <f>'[12]eng-daily-01012014-12312014 (2)'!$P$85</f>
        <v>0</v>
      </c>
      <c r="E184" s="383">
        <v>28</v>
      </c>
      <c r="F184" s="383">
        <v>0</v>
      </c>
      <c r="G184" s="383">
        <v>1</v>
      </c>
      <c r="H184" s="342">
        <v>0</v>
      </c>
      <c r="I184" s="383">
        <v>250.1</v>
      </c>
      <c r="J184" s="342">
        <f t="shared" si="12"/>
        <v>55897713.731916487</v>
      </c>
      <c r="K184" s="26"/>
      <c r="L184" s="11"/>
      <c r="N184" s="11">
        <f t="shared" si="16"/>
        <v>1827370.7319164872</v>
      </c>
      <c r="O184" s="152">
        <f t="shared" si="17"/>
        <v>3.3796174215437978E-2</v>
      </c>
      <c r="Q184" s="145"/>
    </row>
    <row r="185" spans="1:17" x14ac:dyDescent="0.2">
      <c r="A185" s="341">
        <v>41699</v>
      </c>
      <c r="B185" s="383">
        <v>56439184.730000004</v>
      </c>
      <c r="C185" s="384">
        <f>'[12]eng-daily-01012014-12312014 (2)'!$M$116</f>
        <v>879.69999999999982</v>
      </c>
      <c r="D185" s="384">
        <f>'[12]eng-daily-01012014-12312014 (2)'!$P$116</f>
        <v>0</v>
      </c>
      <c r="E185" s="383">
        <v>31</v>
      </c>
      <c r="F185" s="383">
        <v>1</v>
      </c>
      <c r="G185" s="383">
        <v>1</v>
      </c>
      <c r="H185" s="342">
        <v>0</v>
      </c>
      <c r="I185" s="383">
        <v>247.3</v>
      </c>
      <c r="J185" s="342">
        <f t="shared" si="12"/>
        <v>57328883.815622978</v>
      </c>
      <c r="K185" s="26"/>
      <c r="L185" s="11"/>
      <c r="N185" s="11">
        <f t="shared" si="16"/>
        <v>889699.08562297374</v>
      </c>
      <c r="O185" s="152">
        <f t="shared" si="17"/>
        <v>1.5763854312907145E-2</v>
      </c>
      <c r="Q185" s="145"/>
    </row>
    <row r="186" spans="1:17" x14ac:dyDescent="0.2">
      <c r="A186" s="341">
        <v>41730</v>
      </c>
      <c r="B186" s="383">
        <v>44570606.713333301</v>
      </c>
      <c r="C186" s="384">
        <f>'[12]eng-daily-01012014-12312014 (2)'!$M$146</f>
        <v>482.99999999999994</v>
      </c>
      <c r="D186" s="384">
        <f>'[12]eng-daily-01012014-12312014 (2)'!$P$146</f>
        <v>0</v>
      </c>
      <c r="E186" s="383">
        <v>30</v>
      </c>
      <c r="F186" s="383">
        <v>1</v>
      </c>
      <c r="G186" s="383">
        <v>1</v>
      </c>
      <c r="H186" s="342">
        <v>0</v>
      </c>
      <c r="I186" s="383">
        <v>247.5</v>
      </c>
      <c r="J186" s="342">
        <f t="shared" si="12"/>
        <v>46248322.653116569</v>
      </c>
      <c r="K186" s="26"/>
      <c r="L186" s="11"/>
      <c r="N186" s="11">
        <f t="shared" si="16"/>
        <v>1677715.9397832677</v>
      </c>
      <c r="O186" s="152">
        <f t="shared" si="17"/>
        <v>3.7641756832566937E-2</v>
      </c>
      <c r="Q186" s="145"/>
    </row>
    <row r="187" spans="1:17" x14ac:dyDescent="0.2">
      <c r="A187" s="341">
        <v>41760</v>
      </c>
      <c r="B187" s="383">
        <v>39797076.2330769</v>
      </c>
      <c r="C187" s="384">
        <f>'[12]eng-daily-01012014-12312014 (2)'!$M$177</f>
        <v>199.79999999999998</v>
      </c>
      <c r="D187" s="384">
        <f>'[12]eng-daily-01012014-12312014 (2)'!$P$177</f>
        <v>1.3</v>
      </c>
      <c r="E187" s="383">
        <v>31</v>
      </c>
      <c r="F187" s="383">
        <v>1</v>
      </c>
      <c r="G187" s="383">
        <v>1</v>
      </c>
      <c r="H187" s="342">
        <v>0</v>
      </c>
      <c r="I187" s="383">
        <v>250.6</v>
      </c>
      <c r="J187" s="342">
        <f t="shared" si="12"/>
        <v>40530962.562278584</v>
      </c>
      <c r="K187" s="26"/>
      <c r="L187" s="11"/>
      <c r="N187" s="11">
        <f t="shared" si="16"/>
        <v>733886.3292016834</v>
      </c>
      <c r="O187" s="152">
        <f t="shared" si="17"/>
        <v>1.8440709686902122E-2</v>
      </c>
      <c r="Q187" s="145"/>
    </row>
    <row r="188" spans="1:17" x14ac:dyDescent="0.2">
      <c r="A188" s="341">
        <v>41791</v>
      </c>
      <c r="B188" s="383">
        <v>39266619.640000001</v>
      </c>
      <c r="C188" s="384">
        <f>'[12]eng-daily-01012014-12312014 (2)'!$M$207</f>
        <v>53.399999999999991</v>
      </c>
      <c r="D188" s="384">
        <f>'[12]eng-daily-01012014-12312014 (2)'!$P$207</f>
        <v>24.1</v>
      </c>
      <c r="E188" s="383">
        <v>30</v>
      </c>
      <c r="F188" s="383">
        <v>0</v>
      </c>
      <c r="G188" s="383">
        <v>1</v>
      </c>
      <c r="H188" s="342">
        <v>0</v>
      </c>
      <c r="I188" s="383">
        <v>257.10000000000002</v>
      </c>
      <c r="J188" s="342">
        <f t="shared" si="12"/>
        <v>39646215.475313231</v>
      </c>
      <c r="K188" s="26"/>
      <c r="L188" s="11"/>
      <c r="N188" s="11">
        <f t="shared" si="16"/>
        <v>379595.83531323075</v>
      </c>
      <c r="O188" s="152">
        <f t="shared" si="17"/>
        <v>9.6671381135784145E-3</v>
      </c>
      <c r="Q188" s="145"/>
    </row>
    <row r="189" spans="1:17" x14ac:dyDescent="0.2">
      <c r="A189" s="341">
        <v>41821</v>
      </c>
      <c r="B189" s="383">
        <v>40614145.310000002</v>
      </c>
      <c r="C189" s="384">
        <f>'[12]eng-daily-01012014-12312014 (2)'!$M$238</f>
        <v>57.800000000000004</v>
      </c>
      <c r="D189" s="384">
        <f>'[12]eng-daily-01012014-12312014 (2)'!$P$238</f>
        <v>17.900000000000002</v>
      </c>
      <c r="E189" s="383">
        <v>31</v>
      </c>
      <c r="F189" s="383">
        <v>0</v>
      </c>
      <c r="G189" s="383">
        <v>1</v>
      </c>
      <c r="H189" s="342">
        <v>0</v>
      </c>
      <c r="I189" s="383">
        <v>262.8</v>
      </c>
      <c r="J189" s="342">
        <f t="shared" si="12"/>
        <v>40628259.507331677</v>
      </c>
      <c r="K189" s="26"/>
      <c r="L189" s="11"/>
      <c r="N189" s="11">
        <f t="shared" si="16"/>
        <v>14114.197331674397</v>
      </c>
      <c r="O189" s="152">
        <f t="shared" si="17"/>
        <v>3.4751925034845444E-4</v>
      </c>
      <c r="Q189" s="145"/>
    </row>
    <row r="190" spans="1:17" x14ac:dyDescent="0.2">
      <c r="A190" s="341">
        <v>41852</v>
      </c>
      <c r="B190" s="383">
        <v>40130105.350000001</v>
      </c>
      <c r="C190" s="384">
        <f>'[12]eng-daily-01012014-12312014 (2)'!$M$269</f>
        <v>60</v>
      </c>
      <c r="D190" s="384">
        <f>'[12]eng-daily-01012014-12312014 (2)'!$P$269</f>
        <v>16.399999999999999</v>
      </c>
      <c r="E190" s="383">
        <v>31</v>
      </c>
      <c r="F190" s="383">
        <v>0</v>
      </c>
      <c r="G190" s="383">
        <v>1</v>
      </c>
      <c r="H190" s="342">
        <v>0</v>
      </c>
      <c r="I190" s="383">
        <v>263.60000000000002</v>
      </c>
      <c r="J190" s="342">
        <f t="shared" si="12"/>
        <v>40593202.885424756</v>
      </c>
      <c r="K190" s="26"/>
      <c r="L190" s="11"/>
      <c r="N190" s="11">
        <f t="shared" si="16"/>
        <v>463097.53542475402</v>
      </c>
      <c r="O190" s="152">
        <f t="shared" si="17"/>
        <v>1.1539903306651897E-2</v>
      </c>
      <c r="Q190" s="145"/>
    </row>
    <row r="191" spans="1:17" x14ac:dyDescent="0.2">
      <c r="A191" s="341">
        <v>41883</v>
      </c>
      <c r="B191" s="383">
        <v>39320268.8430769</v>
      </c>
      <c r="C191" s="384">
        <f>'[12]eng-daily-01012014-12312014 (2)'!$M$299</f>
        <v>157</v>
      </c>
      <c r="D191" s="384">
        <f>'[12]eng-daily-01012014-12312014 (2)'!$P$299</f>
        <v>4.5999999999999996</v>
      </c>
      <c r="E191" s="383">
        <v>30</v>
      </c>
      <c r="F191" s="383">
        <v>1</v>
      </c>
      <c r="G191" s="383">
        <v>1</v>
      </c>
      <c r="H191" s="342">
        <v>0</v>
      </c>
      <c r="I191" s="383">
        <v>261</v>
      </c>
      <c r="J191" s="342">
        <f t="shared" si="12"/>
        <v>39000863.751574829</v>
      </c>
      <c r="K191" s="26"/>
      <c r="L191" s="11"/>
      <c r="N191" s="11">
        <f t="shared" si="16"/>
        <v>-319405.09150207043</v>
      </c>
      <c r="O191" s="152">
        <f t="shared" si="17"/>
        <v>8.1231665219986902E-3</v>
      </c>
      <c r="Q191" s="145"/>
    </row>
    <row r="192" spans="1:17" x14ac:dyDescent="0.2">
      <c r="A192" s="341">
        <v>41913</v>
      </c>
      <c r="B192" s="383">
        <v>41890567.630000003</v>
      </c>
      <c r="C192" s="384">
        <f>'[12]eng-daily-01012014-12312014 (2)'!$M$330</f>
        <v>341.59999999999997</v>
      </c>
      <c r="D192" s="384">
        <f>'[12]eng-daily-01012014-12312014 (2)'!$P$330</f>
        <v>0</v>
      </c>
      <c r="E192" s="383">
        <v>31</v>
      </c>
      <c r="F192" s="383">
        <v>1</v>
      </c>
      <c r="G192" s="383">
        <v>1</v>
      </c>
      <c r="H192" s="342">
        <v>0</v>
      </c>
      <c r="I192" s="383">
        <v>260.3</v>
      </c>
      <c r="J192" s="342">
        <f t="shared" si="12"/>
        <v>44370410.264133431</v>
      </c>
      <c r="K192" s="26"/>
      <c r="L192" s="11"/>
      <c r="N192" s="11">
        <f t="shared" si="16"/>
        <v>2479842.6341334283</v>
      </c>
      <c r="O192" s="152">
        <f t="shared" si="17"/>
        <v>5.9198114860527333E-2</v>
      </c>
      <c r="Q192" s="145"/>
    </row>
    <row r="193" spans="1:17" x14ac:dyDescent="0.2">
      <c r="A193" s="341">
        <v>41944</v>
      </c>
      <c r="B193" s="383">
        <v>48281109.329999998</v>
      </c>
      <c r="C193" s="384">
        <f>'[12]eng-daily-01012014-12312014 (2)'!$M$360</f>
        <v>642.99999999999989</v>
      </c>
      <c r="D193" s="384">
        <f>'[12]eng-daily-01012014-12312014 (2)'!$P$360</f>
        <v>0</v>
      </c>
      <c r="E193" s="383">
        <v>30</v>
      </c>
      <c r="F193" s="383">
        <v>1</v>
      </c>
      <c r="G193" s="383">
        <v>1</v>
      </c>
      <c r="H193" s="342">
        <v>0</v>
      </c>
      <c r="I193" s="383">
        <v>260.89999999999998</v>
      </c>
      <c r="J193" s="342">
        <f t="shared" si="12"/>
        <v>50799680.960463665</v>
      </c>
      <c r="K193" s="26"/>
      <c r="L193" s="11"/>
      <c r="N193" s="11">
        <f t="shared" si="16"/>
        <v>2518571.6304636672</v>
      </c>
      <c r="O193" s="152">
        <f t="shared" si="17"/>
        <v>5.2164742389187918E-2</v>
      </c>
      <c r="Q193" s="145"/>
    </row>
    <row r="194" spans="1:17" x14ac:dyDescent="0.2">
      <c r="A194" s="341">
        <v>41974</v>
      </c>
      <c r="B194" s="383">
        <v>53346472.609999999</v>
      </c>
      <c r="C194" s="384">
        <f>'[12]eng-daily-01012014-12312014 (2)'!$M$391</f>
        <v>710.49999999999989</v>
      </c>
      <c r="D194" s="384">
        <f>'[12]eng-daily-01012014-12312014 (2)'!$P$391</f>
        <v>0</v>
      </c>
      <c r="E194" s="383">
        <v>31</v>
      </c>
      <c r="F194" s="383">
        <v>0</v>
      </c>
      <c r="G194" s="383">
        <v>1</v>
      </c>
      <c r="H194" s="342">
        <v>0</v>
      </c>
      <c r="I194" s="383">
        <v>261.60000000000002</v>
      </c>
      <c r="J194" s="342">
        <f t="shared" si="12"/>
        <v>55473395.476806946</v>
      </c>
      <c r="K194" s="26"/>
      <c r="L194" s="11"/>
      <c r="N194" s="11">
        <f t="shared" si="16"/>
        <v>2126922.8668069467</v>
      </c>
      <c r="O194" s="152">
        <f t="shared" si="17"/>
        <v>3.9869981326717506E-2</v>
      </c>
      <c r="Q194" s="145"/>
    </row>
    <row r="195" spans="1:17" x14ac:dyDescent="0.2">
      <c r="A195" s="341">
        <v>42005</v>
      </c>
      <c r="B195" s="342"/>
      <c r="C195" s="343">
        <f>(C183+C171+C159+C147+C135+C123+C111+C99+C87+C75)/10</f>
        <v>915.44999999999982</v>
      </c>
      <c r="D195" s="343">
        <f>(D183+D171+D159+D147+D135+D123+D111+D99+D87+D75)/10</f>
        <v>0</v>
      </c>
      <c r="E195" s="342">
        <v>31</v>
      </c>
      <c r="F195" s="342">
        <v>0</v>
      </c>
      <c r="G195" s="342">
        <v>1</v>
      </c>
      <c r="H195" s="342">
        <v>0</v>
      </c>
      <c r="I195" s="383">
        <v>261.60000000000002</v>
      </c>
      <c r="J195" s="342">
        <f t="shared" si="12"/>
        <v>60609227.858438425</v>
      </c>
      <c r="K195" s="26"/>
      <c r="L195" s="11"/>
      <c r="N195" s="21">
        <f>SUM(N3:N194)</f>
        <v>6.631016731262207E-7</v>
      </c>
      <c r="O195" s="152">
        <f>AVERAGE(O3:O194)</f>
        <v>1.7159226578412384E-2</v>
      </c>
      <c r="P195" s="25" t="s">
        <v>258</v>
      </c>
      <c r="Q195" s="145"/>
    </row>
    <row r="196" spans="1:17" x14ac:dyDescent="0.2">
      <c r="A196" s="341">
        <v>42036</v>
      </c>
      <c r="B196" s="342"/>
      <c r="C196" s="343">
        <f t="shared" ref="C196:D206" si="18">(C184+C172+C160+C148+C136+C124+C112+C100+C88+C76)/10</f>
        <v>803.21000000000015</v>
      </c>
      <c r="D196" s="343">
        <f t="shared" si="18"/>
        <v>0</v>
      </c>
      <c r="E196" s="342">
        <v>28</v>
      </c>
      <c r="F196" s="342">
        <v>0</v>
      </c>
      <c r="G196" s="342">
        <v>1</v>
      </c>
      <c r="H196" s="342">
        <v>0</v>
      </c>
      <c r="I196" s="383">
        <v>261.60000000000002</v>
      </c>
      <c r="J196" s="342">
        <f t="shared" ref="J196:J206" si="19">$Q$19+C196*$Q$20+D196*$Q$21+E196*$Q$22+F196*$Q$23+G196*$Q$24+H196*$Q$25+I196*$Q$26</f>
        <v>54353321.926849194</v>
      </c>
      <c r="K196" s="26"/>
      <c r="L196" s="11"/>
      <c r="N196" s="21"/>
      <c r="O196" s="143"/>
      <c r="Q196" s="145"/>
    </row>
    <row r="197" spans="1:17" x14ac:dyDescent="0.2">
      <c r="A197" s="341">
        <v>42064</v>
      </c>
      <c r="B197" s="342"/>
      <c r="C197" s="343">
        <f t="shared" si="18"/>
        <v>684.83999999999992</v>
      </c>
      <c r="D197" s="343">
        <f t="shared" si="18"/>
        <v>6.9999999999999993E-2</v>
      </c>
      <c r="E197" s="342">
        <v>31</v>
      </c>
      <c r="F197" s="342">
        <v>1</v>
      </c>
      <c r="G197" s="342">
        <v>1</v>
      </c>
      <c r="H197" s="342">
        <v>0</v>
      </c>
      <c r="I197" s="383">
        <v>261.60000000000002</v>
      </c>
      <c r="J197" s="342">
        <f t="shared" si="19"/>
        <v>53029938.666461438</v>
      </c>
      <c r="K197" s="26"/>
      <c r="L197" s="11"/>
      <c r="N197" s="21"/>
      <c r="O197" s="143"/>
      <c r="Q197" s="145"/>
    </row>
    <row r="198" spans="1:17" x14ac:dyDescent="0.2">
      <c r="A198" s="341">
        <v>42095</v>
      </c>
      <c r="B198" s="342"/>
      <c r="C198" s="343">
        <f t="shared" si="18"/>
        <v>410.3549999999999</v>
      </c>
      <c r="D198" s="343">
        <f t="shared" si="18"/>
        <v>5.9000000000000011E-2</v>
      </c>
      <c r="E198" s="342">
        <v>30</v>
      </c>
      <c r="F198" s="342">
        <v>1</v>
      </c>
      <c r="G198" s="342">
        <v>1</v>
      </c>
      <c r="H198" s="342">
        <v>0</v>
      </c>
      <c r="I198" s="383">
        <v>261.60000000000002</v>
      </c>
      <c r="J198" s="342">
        <f t="shared" si="19"/>
        <v>45002970.350546166</v>
      </c>
      <c r="K198" s="26"/>
      <c r="L198" s="11"/>
      <c r="N198" s="21"/>
      <c r="O198" s="143"/>
      <c r="Q198" s="145"/>
    </row>
    <row r="199" spans="1:17" x14ac:dyDescent="0.2">
      <c r="A199" s="341">
        <v>42125</v>
      </c>
      <c r="B199" s="342"/>
      <c r="C199" s="343">
        <f t="shared" si="18"/>
        <v>194.45499999999998</v>
      </c>
      <c r="D199" s="343">
        <f t="shared" si="18"/>
        <v>9.14</v>
      </c>
      <c r="E199" s="342">
        <v>31</v>
      </c>
      <c r="F199" s="342">
        <v>1</v>
      </c>
      <c r="G199" s="342">
        <v>1</v>
      </c>
      <c r="H199" s="342">
        <v>0</v>
      </c>
      <c r="I199" s="383">
        <v>261.60000000000002</v>
      </c>
      <c r="J199" s="342">
        <f t="shared" si="19"/>
        <v>41482363.226197302</v>
      </c>
      <c r="K199" s="26"/>
      <c r="L199" s="11"/>
      <c r="N199" s="21"/>
      <c r="O199" s="143"/>
      <c r="Q199" s="145"/>
    </row>
    <row r="200" spans="1:17" x14ac:dyDescent="0.2">
      <c r="A200" s="341">
        <v>42156</v>
      </c>
      <c r="B200" s="342"/>
      <c r="C200" s="343">
        <f t="shared" si="18"/>
        <v>63.844999999999992</v>
      </c>
      <c r="D200" s="343">
        <f t="shared" si="18"/>
        <v>34.1</v>
      </c>
      <c r="E200" s="342">
        <v>30</v>
      </c>
      <c r="F200" s="342">
        <v>0</v>
      </c>
      <c r="G200" s="342">
        <v>1</v>
      </c>
      <c r="H200" s="342">
        <v>0</v>
      </c>
      <c r="I200" s="383">
        <v>261.60000000000002</v>
      </c>
      <c r="J200" s="342">
        <f t="shared" si="19"/>
        <v>40906880.267091259</v>
      </c>
      <c r="K200" s="26"/>
      <c r="L200" s="11"/>
      <c r="N200" s="21"/>
      <c r="O200" s="143"/>
      <c r="Q200" s="145"/>
    </row>
    <row r="201" spans="1:17" x14ac:dyDescent="0.2">
      <c r="A201" s="341">
        <v>42186</v>
      </c>
      <c r="B201" s="342"/>
      <c r="C201" s="343">
        <f t="shared" si="18"/>
        <v>22.815000000000001</v>
      </c>
      <c r="D201" s="343">
        <f t="shared" si="18"/>
        <v>60.570000000000007</v>
      </c>
      <c r="E201" s="342">
        <v>31</v>
      </c>
      <c r="F201" s="342">
        <v>0</v>
      </c>
      <c r="G201" s="342">
        <v>1</v>
      </c>
      <c r="H201" s="342">
        <v>0</v>
      </c>
      <c r="I201" s="383">
        <v>261.60000000000002</v>
      </c>
      <c r="J201" s="342">
        <f t="shared" si="19"/>
        <v>43188898.762067065</v>
      </c>
      <c r="K201" s="26"/>
      <c r="L201" s="11"/>
      <c r="N201" s="21"/>
      <c r="O201" s="143"/>
      <c r="Q201" s="145"/>
    </row>
    <row r="202" spans="1:17" x14ac:dyDescent="0.2">
      <c r="A202" s="341">
        <v>42217</v>
      </c>
      <c r="B202" s="342"/>
      <c r="C202" s="343">
        <f t="shared" si="18"/>
        <v>38.510000000000005</v>
      </c>
      <c r="D202" s="343">
        <f t="shared" si="18"/>
        <v>39.844999999999999</v>
      </c>
      <c r="E202" s="342">
        <v>31</v>
      </c>
      <c r="F202" s="342">
        <v>0</v>
      </c>
      <c r="G202" s="342">
        <v>1</v>
      </c>
      <c r="H202" s="342">
        <v>0</v>
      </c>
      <c r="I202" s="383">
        <v>261.60000000000002</v>
      </c>
      <c r="J202" s="342">
        <f t="shared" si="19"/>
        <v>41889103.304407381</v>
      </c>
      <c r="K202" s="26"/>
      <c r="L202" s="11"/>
      <c r="N202" s="21"/>
      <c r="O202" s="143"/>
      <c r="Q202" s="145"/>
    </row>
    <row r="203" spans="1:17" x14ac:dyDescent="0.2">
      <c r="A203" s="341">
        <v>42248</v>
      </c>
      <c r="B203" s="342"/>
      <c r="C203" s="343">
        <f t="shared" si="18"/>
        <v>145.185</v>
      </c>
      <c r="D203" s="343">
        <f t="shared" si="18"/>
        <v>9.1249999999999982</v>
      </c>
      <c r="E203" s="342">
        <v>30</v>
      </c>
      <c r="F203" s="342">
        <v>1</v>
      </c>
      <c r="G203" s="342">
        <v>1</v>
      </c>
      <c r="H203" s="342">
        <v>0</v>
      </c>
      <c r="I203" s="383">
        <v>261.60000000000002</v>
      </c>
      <c r="J203" s="342">
        <f t="shared" si="19"/>
        <v>39098720.197325341</v>
      </c>
      <c r="K203" s="26"/>
      <c r="L203" s="11"/>
      <c r="N203" s="21"/>
      <c r="O203" s="143"/>
      <c r="Q203" s="145"/>
    </row>
    <row r="204" spans="1:17" x14ac:dyDescent="0.2">
      <c r="A204" s="341">
        <v>42278</v>
      </c>
      <c r="B204" s="342"/>
      <c r="C204" s="343">
        <f t="shared" si="18"/>
        <v>341.38499999999999</v>
      </c>
      <c r="D204" s="343">
        <f t="shared" si="18"/>
        <v>0.95</v>
      </c>
      <c r="E204" s="342">
        <v>31</v>
      </c>
      <c r="F204" s="342">
        <v>1</v>
      </c>
      <c r="G204" s="342">
        <v>1</v>
      </c>
      <c r="H204" s="342">
        <v>0</v>
      </c>
      <c r="I204" s="383">
        <v>261.60000000000002</v>
      </c>
      <c r="J204" s="342">
        <f t="shared" si="19"/>
        <v>44495206.21601174</v>
      </c>
      <c r="K204" s="26"/>
      <c r="L204" s="11"/>
      <c r="N204" s="21"/>
      <c r="O204" s="143"/>
      <c r="Q204" s="145"/>
    </row>
    <row r="205" spans="1:17" x14ac:dyDescent="0.2">
      <c r="A205" s="341">
        <v>42309</v>
      </c>
      <c r="B205" s="342"/>
      <c r="C205" s="343">
        <f t="shared" si="18"/>
        <v>546.625</v>
      </c>
      <c r="D205" s="343">
        <f t="shared" si="18"/>
        <v>0</v>
      </c>
      <c r="E205" s="342">
        <v>30</v>
      </c>
      <c r="F205" s="342">
        <v>1</v>
      </c>
      <c r="G205" s="342">
        <v>1</v>
      </c>
      <c r="H205" s="342">
        <v>0</v>
      </c>
      <c r="I205" s="383">
        <v>261.60000000000002</v>
      </c>
      <c r="J205" s="342">
        <f t="shared" si="19"/>
        <v>48412933.941486478</v>
      </c>
      <c r="K205" s="26"/>
      <c r="L205" s="11"/>
      <c r="N205" s="21"/>
      <c r="O205" s="143"/>
      <c r="Q205" s="145"/>
    </row>
    <row r="206" spans="1:17" x14ac:dyDescent="0.2">
      <c r="A206" s="341">
        <v>42339</v>
      </c>
      <c r="B206" s="342"/>
      <c r="C206" s="343">
        <f>(C194+C182+C170+C158+C146+C134+C122+C110+C98+C86)/10</f>
        <v>804.39999999999986</v>
      </c>
      <c r="D206" s="343">
        <f t="shared" si="18"/>
        <v>0</v>
      </c>
      <c r="E206" s="342">
        <v>31</v>
      </c>
      <c r="F206" s="342">
        <v>0</v>
      </c>
      <c r="G206" s="342">
        <v>1</v>
      </c>
      <c r="H206" s="342">
        <v>0</v>
      </c>
      <c r="I206" s="383">
        <v>261.60000000000002</v>
      </c>
      <c r="J206" s="342">
        <f t="shared" si="19"/>
        <v>57826431.147142135</v>
      </c>
      <c r="K206" s="26"/>
      <c r="L206" s="11"/>
      <c r="N206" s="21"/>
      <c r="O206" s="143"/>
      <c r="Q206" s="145"/>
    </row>
    <row r="207" spans="1:17" x14ac:dyDescent="0.2">
      <c r="A207" s="341"/>
      <c r="B207" s="342"/>
      <c r="C207" s="343"/>
      <c r="D207" s="343"/>
      <c r="E207" s="342"/>
      <c r="F207" s="342"/>
      <c r="G207" s="342"/>
      <c r="H207" s="342"/>
      <c r="I207" s="383"/>
      <c r="J207" s="342"/>
      <c r="K207" s="26"/>
      <c r="L207" s="11"/>
      <c r="N207" s="21"/>
      <c r="O207" s="143"/>
      <c r="Q207" s="145"/>
    </row>
    <row r="208" spans="1:17" x14ac:dyDescent="0.2">
      <c r="A208" s="341"/>
      <c r="J208" s="345">
        <f>SUM(J3:J206)</f>
        <v>9984717154.4549141</v>
      </c>
    </row>
    <row r="209" spans="1:17" x14ac:dyDescent="0.2">
      <c r="A209" s="341"/>
      <c r="J209" s="345"/>
    </row>
    <row r="210" spans="1:17" x14ac:dyDescent="0.2">
      <c r="A210" s="160"/>
      <c r="K210" s="43"/>
      <c r="L210" s="146"/>
    </row>
    <row r="211" spans="1:17" x14ac:dyDescent="0.2">
      <c r="A211" s="164" t="s">
        <v>155</v>
      </c>
    </row>
    <row r="212" spans="1:17" x14ac:dyDescent="0.2">
      <c r="A212" s="346">
        <v>1999</v>
      </c>
      <c r="B212" s="141">
        <f>SUM(B3:B14)</f>
        <v>586785297.19999993</v>
      </c>
      <c r="J212" s="141">
        <f>SUM(J3:J14)</f>
        <v>586985728.21796286</v>
      </c>
      <c r="N212" s="147">
        <f t="shared" ref="N212:N226" si="20">J212-B212</f>
        <v>200431.01796293259</v>
      </c>
      <c r="O212" s="148">
        <f t="shared" ref="O212:O224" si="21">N212/B212</f>
        <v>3.4157471040829039E-4</v>
      </c>
    </row>
    <row r="213" spans="1:17" x14ac:dyDescent="0.2">
      <c r="A213" s="140">
        <v>2000</v>
      </c>
      <c r="B213" s="141">
        <f>SUM(B15:B26)</f>
        <v>590756479.69999993</v>
      </c>
      <c r="J213" s="141">
        <f>SUM(J15:J26)</f>
        <v>589375854.57640064</v>
      </c>
      <c r="N213" s="147">
        <f t="shared" si="20"/>
        <v>-1380625.1235992908</v>
      </c>
      <c r="O213" s="148">
        <f t="shared" si="21"/>
        <v>-2.3370460943575345E-3</v>
      </c>
    </row>
    <row r="214" spans="1:17" x14ac:dyDescent="0.2">
      <c r="A214" s="346">
        <v>2001</v>
      </c>
      <c r="B214" s="141">
        <f>SUM(B27:B38)</f>
        <v>587842839.79999995</v>
      </c>
      <c r="J214" s="141">
        <f>SUM(J27:J38)</f>
        <v>586625929.16793203</v>
      </c>
      <c r="N214" s="147">
        <f t="shared" si="20"/>
        <v>-1216910.6320679188</v>
      </c>
      <c r="O214" s="148">
        <f t="shared" si="21"/>
        <v>-2.0701292074629075E-3</v>
      </c>
    </row>
    <row r="215" spans="1:17" x14ac:dyDescent="0.2">
      <c r="A215" s="140">
        <v>2002</v>
      </c>
      <c r="B215" s="141">
        <f>SUM(B39:B50)</f>
        <v>593838876.10000002</v>
      </c>
      <c r="J215" s="141">
        <f>SUM(J39:J50)</f>
        <v>598006237.51023877</v>
      </c>
      <c r="N215" s="147">
        <f t="shared" si="20"/>
        <v>4167361.4102387428</v>
      </c>
      <c r="O215" s="148">
        <f t="shared" si="21"/>
        <v>7.0176635076632746E-3</v>
      </c>
    </row>
    <row r="216" spans="1:17" x14ac:dyDescent="0.2">
      <c r="A216" s="346">
        <v>2003</v>
      </c>
      <c r="B216" s="141">
        <f>SUM(B51:B62)</f>
        <v>594630408</v>
      </c>
      <c r="J216" s="141">
        <f>SUM(J51:J62)</f>
        <v>594807571.51405835</v>
      </c>
      <c r="N216" s="147">
        <f t="shared" si="20"/>
        <v>177163.51405835152</v>
      </c>
      <c r="O216" s="148">
        <f t="shared" si="21"/>
        <v>2.9793887375223423E-4</v>
      </c>
    </row>
    <row r="217" spans="1:17" x14ac:dyDescent="0.2">
      <c r="A217" s="140">
        <v>2004</v>
      </c>
      <c r="B217" s="141">
        <f>SUM(B63:B74)</f>
        <v>601756740</v>
      </c>
      <c r="J217" s="141">
        <f>SUM(J63:J74)</f>
        <v>598114414.14720607</v>
      </c>
      <c r="N217" s="147">
        <f t="shared" si="20"/>
        <v>-3642325.852793932</v>
      </c>
      <c r="O217" s="148">
        <f t="shared" si="21"/>
        <v>-6.0528210332865271E-3</v>
      </c>
    </row>
    <row r="218" spans="1:17" x14ac:dyDescent="0.2">
      <c r="A218" s="346">
        <v>2005</v>
      </c>
      <c r="B218" s="141">
        <f>SUM(B75:B86)</f>
        <v>606363661</v>
      </c>
      <c r="J218" s="141">
        <f>SUM(J75:J86)</f>
        <v>602326294.25683236</v>
      </c>
      <c r="N218" s="147">
        <f t="shared" si="20"/>
        <v>-4037366.7431676388</v>
      </c>
      <c r="O218" s="148">
        <f t="shared" si="21"/>
        <v>-6.6583256927193052E-3</v>
      </c>
    </row>
    <row r="219" spans="1:17" x14ac:dyDescent="0.2">
      <c r="A219" s="140">
        <v>2006</v>
      </c>
      <c r="B219" s="141">
        <f>SUM(B87:B98)</f>
        <v>585762798</v>
      </c>
      <c r="J219" s="141">
        <f>SUM(J87:J98)</f>
        <v>585663679.63589358</v>
      </c>
      <c r="N219" s="147">
        <f t="shared" si="20"/>
        <v>-99118.364106416702</v>
      </c>
      <c r="O219" s="148">
        <f t="shared" si="21"/>
        <v>-1.6921246013717776E-4</v>
      </c>
    </row>
    <row r="220" spans="1:17" x14ac:dyDescent="0.2">
      <c r="A220" s="346">
        <v>2007</v>
      </c>
      <c r="B220" s="141">
        <f>SUM(B99:B110)</f>
        <v>598640314</v>
      </c>
      <c r="J220" s="141">
        <f>SUM(J99:J110)</f>
        <v>599930778.40315473</v>
      </c>
      <c r="N220" s="147">
        <f t="shared" si="20"/>
        <v>1290464.4031547308</v>
      </c>
      <c r="O220" s="148">
        <f t="shared" si="21"/>
        <v>2.1556590376149154E-3</v>
      </c>
    </row>
    <row r="221" spans="1:17" x14ac:dyDescent="0.2">
      <c r="A221" s="140">
        <v>2008</v>
      </c>
      <c r="B221" s="141">
        <f>SUM(B111:B122)</f>
        <v>594903991</v>
      </c>
      <c r="J221" s="141">
        <f>SUM(J111:J122)</f>
        <v>595332146.99348593</v>
      </c>
      <c r="N221" s="147">
        <f t="shared" si="20"/>
        <v>428155.99348592758</v>
      </c>
      <c r="O221" s="148">
        <f t="shared" si="21"/>
        <v>7.1970603654250424E-4</v>
      </c>
    </row>
    <row r="222" spans="1:17" x14ac:dyDescent="0.2">
      <c r="A222" s="140">
        <v>2009</v>
      </c>
      <c r="B222" s="141">
        <f>SUM(B123:B134)</f>
        <v>580320683.07692301</v>
      </c>
      <c r="J222" s="141">
        <f>SUM(J123:J134)</f>
        <v>590099156.50196898</v>
      </c>
      <c r="N222" s="147">
        <f t="shared" si="20"/>
        <v>9778473.4250459671</v>
      </c>
      <c r="O222" s="148">
        <f t="shared" si="21"/>
        <v>1.6850120476836088E-2</v>
      </c>
    </row>
    <row r="223" spans="1:17" x14ac:dyDescent="0.2">
      <c r="A223" s="140">
        <v>2010</v>
      </c>
      <c r="B223" s="141">
        <f>SUM(B135:B146)</f>
        <v>592105953.84615386</v>
      </c>
      <c r="G223" s="347"/>
      <c r="H223" s="347"/>
      <c r="I223" s="347"/>
      <c r="J223" s="141">
        <f>SUM(J135:J146)</f>
        <v>586298736.03698146</v>
      </c>
      <c r="N223" s="147">
        <f t="shared" si="20"/>
        <v>-5807217.8091723919</v>
      </c>
      <c r="O223" s="148">
        <f t="shared" si="21"/>
        <v>-9.8077341925889069E-3</v>
      </c>
      <c r="P223" s="150"/>
      <c r="Q223" s="150"/>
    </row>
    <row r="224" spans="1:17" x14ac:dyDescent="0.2">
      <c r="A224" s="140">
        <v>2011</v>
      </c>
      <c r="B224" s="141">
        <f>SUM(B147:B158)</f>
        <v>593738607.69230771</v>
      </c>
      <c r="G224" s="347"/>
      <c r="H224" s="347"/>
      <c r="I224" s="347"/>
      <c r="J224" s="141">
        <f>SUM(J147:J158)</f>
        <v>593880122.45326924</v>
      </c>
      <c r="N224" s="147">
        <f t="shared" si="20"/>
        <v>141514.76096153259</v>
      </c>
      <c r="O224" s="148">
        <f t="shared" si="21"/>
        <v>2.3834522318088767E-4</v>
      </c>
      <c r="P224" s="150"/>
      <c r="Q224" s="150"/>
    </row>
    <row r="225" spans="1:18" x14ac:dyDescent="0.2">
      <c r="A225" s="140">
        <v>2012</v>
      </c>
      <c r="B225" s="141">
        <f>SUM(B159:B170)</f>
        <v>572612692.67601395</v>
      </c>
      <c r="G225" s="347"/>
      <c r="H225" s="347"/>
      <c r="I225" s="347"/>
      <c r="J225" s="141">
        <f>SUM(J159:J170)</f>
        <v>561745318.85782051</v>
      </c>
      <c r="N225" s="147">
        <f t="shared" si="20"/>
        <v>-10867373.818193436</v>
      </c>
      <c r="O225" s="148">
        <f>N225/B225</f>
        <v>-1.8978576544306937E-2</v>
      </c>
      <c r="P225" s="139"/>
      <c r="Q225" s="150"/>
    </row>
    <row r="226" spans="1:18" x14ac:dyDescent="0.2">
      <c r="A226" s="140">
        <v>2013</v>
      </c>
      <c r="B226" s="141">
        <f>SUM(B171:B182)</f>
        <v>573172084.77666664</v>
      </c>
      <c r="G226" s="347"/>
      <c r="H226" s="347"/>
      <c r="I226" s="347"/>
      <c r="J226" s="141">
        <f>SUM(J171:J182)</f>
        <v>571754144.49538946</v>
      </c>
      <c r="N226" s="147">
        <f t="shared" si="20"/>
        <v>-1417940.2812771797</v>
      </c>
      <c r="O226" s="148">
        <f>N226/B226</f>
        <v>-2.4738474167486234E-3</v>
      </c>
      <c r="P226" s="139"/>
      <c r="Q226" s="150"/>
    </row>
    <row r="227" spans="1:18" x14ac:dyDescent="0.2">
      <c r="A227" s="140">
        <v>2014</v>
      </c>
      <c r="B227" s="141">
        <f>SUM(B183:B194)</f>
        <v>561189731.7228204</v>
      </c>
      <c r="G227" s="347"/>
      <c r="H227" s="347"/>
      <c r="I227" s="347"/>
      <c r="J227" s="141">
        <f>SUM(J183:J194)</f>
        <v>573475045.82229114</v>
      </c>
      <c r="N227" s="147">
        <f>J227-B227</f>
        <v>12285314.099470735</v>
      </c>
      <c r="O227" s="148">
        <f>N227/B227</f>
        <v>2.1891551831776258E-2</v>
      </c>
      <c r="P227" s="139"/>
      <c r="Q227" s="147"/>
      <c r="R227" s="147"/>
    </row>
    <row r="228" spans="1:18" x14ac:dyDescent="0.2">
      <c r="A228" s="140">
        <v>2015</v>
      </c>
      <c r="B228" s="141">
        <f>SUM(B195:B206)</f>
        <v>0</v>
      </c>
      <c r="G228" s="347"/>
      <c r="H228" s="347"/>
      <c r="I228" s="347"/>
      <c r="J228" s="141">
        <f>SUM(J195:J206)</f>
        <v>570295995.86402392</v>
      </c>
      <c r="N228" s="147">
        <f>J228-B228</f>
        <v>570295995.86402392</v>
      </c>
      <c r="O228" s="252"/>
      <c r="P228" s="150"/>
      <c r="Q228" s="255"/>
      <c r="R228" s="182"/>
    </row>
    <row r="229" spans="1:18" x14ac:dyDescent="0.2">
      <c r="G229" s="347"/>
      <c r="H229" s="347"/>
      <c r="I229" s="347"/>
      <c r="J229" s="141"/>
      <c r="N229" s="151"/>
      <c r="O229" s="152"/>
      <c r="P229" s="150"/>
      <c r="Q229" s="256"/>
    </row>
    <row r="230" spans="1:18" x14ac:dyDescent="0.2">
      <c r="G230" s="347"/>
      <c r="H230" s="347"/>
      <c r="I230" s="347"/>
      <c r="J230" s="348"/>
      <c r="N230" s="149"/>
      <c r="O230" s="149"/>
      <c r="P230" s="150"/>
      <c r="Q230" s="256"/>
    </row>
    <row r="231" spans="1:18" ht="13.5" thickBot="1" x14ac:dyDescent="0.25">
      <c r="A231" s="349" t="s">
        <v>154</v>
      </c>
      <c r="B231" s="141">
        <f>SUM(B212:B227)</f>
        <v>9414421158.5908852</v>
      </c>
      <c r="G231" s="347"/>
      <c r="H231" s="347"/>
      <c r="I231" s="347"/>
      <c r="J231" s="141">
        <f>SUM(J212:J227)</f>
        <v>9414421158.5908852</v>
      </c>
      <c r="N231" s="161">
        <f>J231-B231</f>
        <v>0</v>
      </c>
      <c r="O231" s="149"/>
      <c r="P231" s="150"/>
      <c r="Q231" s="256"/>
    </row>
    <row r="232" spans="1:18" x14ac:dyDescent="0.2">
      <c r="G232" s="347"/>
      <c r="H232" s="347"/>
      <c r="I232" s="347"/>
      <c r="J232" s="347"/>
      <c r="N232" s="149"/>
      <c r="O232" s="149"/>
      <c r="P232" s="150"/>
      <c r="Q232" s="150"/>
    </row>
    <row r="233" spans="1:18" ht="13.5" thickBot="1" x14ac:dyDescent="0.25">
      <c r="G233" s="347"/>
      <c r="H233" s="347"/>
      <c r="I233" s="347"/>
      <c r="J233" s="142">
        <f>SUM(J212:J228)</f>
        <v>9984717154.4549084</v>
      </c>
      <c r="N233" s="162">
        <f>J208-J233</f>
        <v>0</v>
      </c>
      <c r="O233" s="153"/>
      <c r="P233" s="150"/>
      <c r="Q233" s="150"/>
    </row>
    <row r="234" spans="1:18" x14ac:dyDescent="0.2">
      <c r="G234" s="347"/>
      <c r="H234" s="347"/>
      <c r="I234" s="347"/>
      <c r="J234" s="347"/>
      <c r="N234" s="149" t="s">
        <v>79</v>
      </c>
      <c r="O234" s="149"/>
      <c r="P234" s="150"/>
      <c r="Q234" s="150"/>
    </row>
    <row r="235" spans="1:18" x14ac:dyDescent="0.2">
      <c r="G235" s="347"/>
      <c r="H235" s="347"/>
      <c r="I235" s="347"/>
      <c r="J235" s="347"/>
      <c r="N235" s="149"/>
      <c r="O235" s="149"/>
      <c r="P235" s="150"/>
      <c r="Q235" s="150"/>
    </row>
    <row r="236" spans="1:18" x14ac:dyDescent="0.2">
      <c r="A236" s="350" t="s">
        <v>181</v>
      </c>
      <c r="G236" s="347"/>
      <c r="H236" s="347"/>
      <c r="I236"/>
      <c r="J236" s="347"/>
      <c r="N236" s="149"/>
      <c r="O236" s="149"/>
      <c r="P236" s="150"/>
      <c r="Q236" s="150"/>
    </row>
    <row r="237" spans="1:18" x14ac:dyDescent="0.2">
      <c r="A237" s="341">
        <v>42005</v>
      </c>
      <c r="B237" s="265"/>
      <c r="C237" s="343">
        <f>'Weather Normal Values'!AC3</f>
        <v>930.96947368421047</v>
      </c>
      <c r="D237" s="343">
        <f>'Weather Normal Values'!AC18</f>
        <v>0</v>
      </c>
      <c r="E237" s="343">
        <f>E195</f>
        <v>31</v>
      </c>
      <c r="F237" s="343">
        <f t="shared" ref="F237:G237" si="22">F195</f>
        <v>0</v>
      </c>
      <c r="G237" s="343">
        <f t="shared" si="22"/>
        <v>1</v>
      </c>
      <c r="H237" s="343"/>
      <c r="I237"/>
      <c r="J237" s="342">
        <f t="shared" ref="J237:J248" si="23">$Q$19+C237*$Q$20+D237*$Q$21+E237*$Q$22+F237*$Q$23+G237*$Q$24</f>
        <v>50418442.77195093</v>
      </c>
      <c r="K237" s="44">
        <v>136.54905631666588</v>
      </c>
      <c r="L237" s="44">
        <v>54663.084500000143</v>
      </c>
      <c r="M237" s="157">
        <v>320</v>
      </c>
      <c r="N237" s="149"/>
      <c r="O237" s="149"/>
      <c r="P237" s="150"/>
      <c r="Q237" s="150"/>
    </row>
    <row r="238" spans="1:18" x14ac:dyDescent="0.2">
      <c r="A238" s="341">
        <v>42036</v>
      </c>
      <c r="B238" s="265"/>
      <c r="C238" s="343">
        <f>'Weather Normal Values'!AC4</f>
        <v>805.06842105263161</v>
      </c>
      <c r="D238" s="343">
        <f>'Weather Normal Values'!AC19</f>
        <v>0</v>
      </c>
      <c r="E238" s="343">
        <f t="shared" ref="E238:G238" si="24">E196</f>
        <v>28</v>
      </c>
      <c r="F238" s="343">
        <f t="shared" si="24"/>
        <v>0</v>
      </c>
      <c r="G238" s="343">
        <f t="shared" si="24"/>
        <v>1</v>
      </c>
      <c r="H238" s="343"/>
      <c r="I238"/>
      <c r="J238" s="342">
        <f t="shared" si="23"/>
        <v>43820205.166917264</v>
      </c>
      <c r="K238" s="44">
        <v>136.80805625997368</v>
      </c>
      <c r="L238" s="44">
        <v>54663.084500000143</v>
      </c>
      <c r="M238" s="157">
        <v>304</v>
      </c>
      <c r="N238" s="149"/>
      <c r="O238" s="149"/>
      <c r="P238" s="150"/>
      <c r="Q238" s="150"/>
    </row>
    <row r="239" spans="1:18" x14ac:dyDescent="0.2">
      <c r="A239" s="341">
        <v>42064</v>
      </c>
      <c r="B239" s="265"/>
      <c r="C239" s="343">
        <f>'Weather Normal Values'!AC5</f>
        <v>682.88421052631588</v>
      </c>
      <c r="D239" s="343">
        <f>'Weather Normal Values'!AC20</f>
        <v>0.11789473684210527</v>
      </c>
      <c r="E239" s="343">
        <f t="shared" ref="E239:G239" si="25">E197</f>
        <v>31</v>
      </c>
      <c r="F239" s="343">
        <f t="shared" si="25"/>
        <v>1</v>
      </c>
      <c r="G239" s="343">
        <f t="shared" si="25"/>
        <v>1</v>
      </c>
      <c r="H239" s="343"/>
      <c r="I239"/>
      <c r="J239" s="342">
        <f t="shared" si="23"/>
        <v>42405154.468794726</v>
      </c>
      <c r="K239" s="44">
        <v>137.06754746241165</v>
      </c>
      <c r="L239" s="44">
        <v>54663.084500000143</v>
      </c>
      <c r="M239" s="157">
        <v>368</v>
      </c>
      <c r="N239" s="149"/>
      <c r="O239" s="149"/>
      <c r="P239" s="150"/>
      <c r="Q239" s="150"/>
    </row>
    <row r="240" spans="1:18" x14ac:dyDescent="0.2">
      <c r="A240" s="341">
        <v>42095</v>
      </c>
      <c r="B240" s="265"/>
      <c r="C240" s="343">
        <f>'Weather Normal Values'!AC6</f>
        <v>411.50236842105232</v>
      </c>
      <c r="D240" s="343">
        <v>0</v>
      </c>
      <c r="E240" s="343">
        <f t="shared" ref="E240:G240" si="26">E198</f>
        <v>30</v>
      </c>
      <c r="F240" s="343">
        <f t="shared" si="26"/>
        <v>1</v>
      </c>
      <c r="G240" s="343">
        <f t="shared" si="26"/>
        <v>1</v>
      </c>
      <c r="H240" s="343"/>
      <c r="I240"/>
      <c r="J240" s="342">
        <f t="shared" si="23"/>
        <v>34447215.445642225</v>
      </c>
      <c r="K240" s="44">
        <v>137.32753085577744</v>
      </c>
      <c r="L240" s="44">
        <v>54663.084500000143</v>
      </c>
      <c r="M240" s="157">
        <v>320</v>
      </c>
      <c r="N240" s="149"/>
      <c r="O240" s="149"/>
      <c r="P240" s="150"/>
      <c r="Q240" s="150"/>
    </row>
    <row r="241" spans="1:17" x14ac:dyDescent="0.2">
      <c r="A241" s="341">
        <v>42125</v>
      </c>
      <c r="B241" s="265"/>
      <c r="C241" s="343">
        <f>'Weather Normal Values'!AC7</f>
        <v>184.90447368421064</v>
      </c>
      <c r="D241" s="343">
        <f>'Weather Normal Values'!AC22</f>
        <v>10.848421052631579</v>
      </c>
      <c r="E241" s="343">
        <f t="shared" ref="E241:G241" si="27">E199</f>
        <v>31</v>
      </c>
      <c r="F241" s="343">
        <f t="shared" si="27"/>
        <v>1</v>
      </c>
      <c r="G241" s="343">
        <f t="shared" si="27"/>
        <v>1</v>
      </c>
      <c r="H241" s="343"/>
      <c r="I241"/>
      <c r="J241" s="342">
        <f t="shared" si="23"/>
        <v>30802916.917388454</v>
      </c>
      <c r="K241" s="44">
        <v>137.58800737363606</v>
      </c>
      <c r="L241" s="44">
        <v>54663.084500000143</v>
      </c>
      <c r="M241" s="157">
        <v>320</v>
      </c>
      <c r="N241" s="149"/>
      <c r="O241" s="149"/>
      <c r="P241" s="150"/>
      <c r="Q241" s="150"/>
    </row>
    <row r="242" spans="1:17" x14ac:dyDescent="0.2">
      <c r="A242" s="341">
        <v>42156</v>
      </c>
      <c r="B242" s="265"/>
      <c r="C242" s="343">
        <f>'Weather Normal Values'!AC8</f>
        <v>72.375526315789557</v>
      </c>
      <c r="D242" s="343">
        <f>'Weather Normal Values'!AC23</f>
        <v>23.377368421052779</v>
      </c>
      <c r="E242" s="343">
        <f t="shared" ref="E242:G242" si="28">E200</f>
        <v>30</v>
      </c>
      <c r="F242" s="343">
        <f t="shared" si="28"/>
        <v>0</v>
      </c>
      <c r="G242" s="343">
        <f t="shared" si="28"/>
        <v>1</v>
      </c>
      <c r="H242" s="343"/>
      <c r="J242" s="342">
        <f t="shared" si="23"/>
        <v>29664991.243809659</v>
      </c>
      <c r="K242" s="44">
        <v>137.84897795132326</v>
      </c>
      <c r="L242" s="44">
        <v>54663.084500000143</v>
      </c>
      <c r="M242" s="157">
        <v>352</v>
      </c>
      <c r="N242" s="149"/>
      <c r="O242" s="149"/>
      <c r="P242" s="150"/>
      <c r="Q242" s="150"/>
    </row>
    <row r="243" spans="1:17" x14ac:dyDescent="0.2">
      <c r="A243" s="341">
        <v>42186</v>
      </c>
      <c r="B243" s="265"/>
      <c r="C243" s="343">
        <f>'Weather Normal Values'!AC9</f>
        <v>22.533947368421082</v>
      </c>
      <c r="D243" s="343">
        <f>'Weather Normal Values'!AC24</f>
        <v>59.911578947368525</v>
      </c>
      <c r="E243" s="343">
        <f t="shared" ref="E243:G243" si="29">E201</f>
        <v>31</v>
      </c>
      <c r="F243" s="343">
        <f t="shared" si="29"/>
        <v>0</v>
      </c>
      <c r="G243" s="343">
        <f t="shared" si="29"/>
        <v>1</v>
      </c>
      <c r="H243" s="343"/>
      <c r="J243" s="342">
        <f t="shared" si="23"/>
        <v>32548380.377358962</v>
      </c>
      <c r="K243" s="44">
        <v>138.11044352594894</v>
      </c>
      <c r="L243" s="44">
        <v>54663.084500000143</v>
      </c>
      <c r="M243" s="157">
        <v>336</v>
      </c>
      <c r="N243" s="149"/>
      <c r="O243" s="149"/>
      <c r="P243" s="150"/>
      <c r="Q243" s="150"/>
    </row>
    <row r="244" spans="1:17" x14ac:dyDescent="0.2">
      <c r="A244" s="341">
        <v>42217</v>
      </c>
      <c r="B244" s="265"/>
      <c r="C244" s="343">
        <f>'Weather Normal Values'!AC10</f>
        <v>40.29684210526316</v>
      </c>
      <c r="D244" s="343">
        <f>'Weather Normal Values'!AC25</f>
        <v>36.988157894736901</v>
      </c>
      <c r="E244" s="343">
        <f t="shared" ref="E244:G244" si="30">E202</f>
        <v>31</v>
      </c>
      <c r="F244" s="343">
        <f t="shared" si="30"/>
        <v>0</v>
      </c>
      <c r="G244" s="343">
        <f t="shared" si="30"/>
        <v>1</v>
      </c>
      <c r="H244" s="343"/>
      <c r="J244" s="342">
        <f t="shared" si="23"/>
        <v>31120807.705167264</v>
      </c>
      <c r="K244" s="44">
        <v>138.37240503640041</v>
      </c>
      <c r="L244" s="44">
        <v>54663.084500000143</v>
      </c>
      <c r="M244" s="157">
        <v>336</v>
      </c>
    </row>
    <row r="245" spans="1:17" x14ac:dyDescent="0.2">
      <c r="A245" s="341">
        <v>42248</v>
      </c>
      <c r="B245" s="265"/>
      <c r="C245" s="343">
        <f>'Weather Normal Values'!AC11</f>
        <v>141.12026315789467</v>
      </c>
      <c r="D245" s="343">
        <f>'Weather Normal Values'!AC26</f>
        <v>9.4713157894736923</v>
      </c>
      <c r="E245" s="343">
        <f t="shared" ref="E245:G245" si="31">E203</f>
        <v>30</v>
      </c>
      <c r="F245" s="343">
        <f t="shared" si="31"/>
        <v>1</v>
      </c>
      <c r="G245" s="343">
        <f t="shared" si="31"/>
        <v>1</v>
      </c>
      <c r="H245" s="343"/>
      <c r="J245" s="342">
        <f t="shared" si="23"/>
        <v>28445467.017567001</v>
      </c>
      <c r="K245" s="44">
        <v>138.63486342334582</v>
      </c>
      <c r="L245" s="44">
        <v>54663.084500000143</v>
      </c>
      <c r="M245" s="157">
        <v>336</v>
      </c>
    </row>
    <row r="246" spans="1:17" x14ac:dyDescent="0.2">
      <c r="A246" s="341">
        <v>42278</v>
      </c>
      <c r="B246" s="265"/>
      <c r="C246" s="343">
        <f>'Weather Normal Values'!AC12</f>
        <v>337.91394736842085</v>
      </c>
      <c r="D246" s="343">
        <f>'Weather Normal Values'!AC27</f>
        <v>0.67526315789473745</v>
      </c>
      <c r="E246" s="343">
        <f t="shared" ref="E246:G246" si="32">E204</f>
        <v>31</v>
      </c>
      <c r="F246" s="343">
        <f t="shared" si="32"/>
        <v>1</v>
      </c>
      <c r="G246" s="343">
        <f t="shared" si="32"/>
        <v>1</v>
      </c>
      <c r="H246" s="343"/>
      <c r="J246" s="342">
        <f t="shared" si="23"/>
        <v>33806094.239608184</v>
      </c>
      <c r="K246" s="44">
        <v>138.89781962923757</v>
      </c>
      <c r="L246" s="44">
        <v>54663.084500000143</v>
      </c>
      <c r="M246" s="157">
        <v>320</v>
      </c>
    </row>
    <row r="247" spans="1:17" x14ac:dyDescent="0.2">
      <c r="A247" s="341">
        <v>42309</v>
      </c>
      <c r="B247" s="265"/>
      <c r="C247" s="343">
        <f>'Weather Normal Values'!AC13</f>
        <v>532.09394736842023</v>
      </c>
      <c r="D247" s="343">
        <f>'Weather Normal Values'!AC28</f>
        <v>0</v>
      </c>
      <c r="E247" s="343">
        <f t="shared" ref="E247:G247" si="33">E205</f>
        <v>30</v>
      </c>
      <c r="F247" s="343">
        <f t="shared" si="33"/>
        <v>1</v>
      </c>
      <c r="G247" s="343">
        <f t="shared" si="33"/>
        <v>1</v>
      </c>
      <c r="H247" s="343"/>
      <c r="J247" s="342">
        <f t="shared" si="23"/>
        <v>37469114.133663513</v>
      </c>
      <c r="K247" s="44">
        <v>139.16127459831566</v>
      </c>
      <c r="L247" s="44">
        <v>54663.084500000143</v>
      </c>
      <c r="M247" s="157">
        <v>336</v>
      </c>
    </row>
    <row r="248" spans="1:17" x14ac:dyDescent="0.2">
      <c r="A248" s="341">
        <v>42339</v>
      </c>
      <c r="B248" s="265"/>
      <c r="C248" s="343">
        <f>'Weather Normal Values'!AC14</f>
        <v>806.56052631578939</v>
      </c>
      <c r="D248" s="343">
        <f>'Weather Normal Values'!AC29</f>
        <v>0</v>
      </c>
      <c r="E248" s="343">
        <f t="shared" ref="E248:G248" si="34">E206</f>
        <v>31</v>
      </c>
      <c r="F248" s="343">
        <f t="shared" si="34"/>
        <v>0</v>
      </c>
      <c r="G248" s="343">
        <f t="shared" si="34"/>
        <v>1</v>
      </c>
      <c r="H248" s="343"/>
      <c r="J248" s="342">
        <f t="shared" si="23"/>
        <v>47300884.828748085</v>
      </c>
      <c r="K248" s="44">
        <v>139.42522927661113</v>
      </c>
      <c r="L248" s="44">
        <v>54663.084500000143</v>
      </c>
      <c r="M248" s="157">
        <v>368</v>
      </c>
    </row>
    <row r="249" spans="1:17" x14ac:dyDescent="0.2">
      <c r="C249" s="345">
        <f>SUM(C237:C248)</f>
        <v>4968.2239473684203</v>
      </c>
      <c r="D249" s="345">
        <f>SUM(D237:D248)</f>
        <v>141.39000000000033</v>
      </c>
      <c r="J249" s="345">
        <f>SUM(J237:J248)</f>
        <v>442249674.3166163</v>
      </c>
      <c r="N249" s="143">
        <f>+J249-N228</f>
        <v>-128046321.54740763</v>
      </c>
      <c r="O249" s="144">
        <f>+N249/J249</f>
        <v>-0.28953400982209981</v>
      </c>
    </row>
    <row r="250" spans="1:17" x14ac:dyDescent="0.2">
      <c r="J250" s="140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0"/>
  <sheetViews>
    <sheetView zoomScaleNormal="100" workbookViewId="0">
      <pane xSplit="1" ySplit="2" topLeftCell="E69" activePane="bottomRight" state="frozen"/>
      <selection activeCell="AB30" sqref="AB30"/>
      <selection pane="topRight" activeCell="AB30" sqref="AB30"/>
      <selection pane="bottomLeft" activeCell="AB30" sqref="AB30"/>
      <selection pane="bottomRight" activeCell="H82" sqref="H82:J82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0" t="s">
        <v>66</v>
      </c>
      <c r="J2" s="310" t="s">
        <v>269</v>
      </c>
      <c r="K2" s="310" t="s">
        <v>270</v>
      </c>
      <c r="L2" s="135" t="s">
        <v>267</v>
      </c>
      <c r="M2" s="135" t="s">
        <v>268</v>
      </c>
      <c r="N2" s="135" t="s">
        <v>271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Model'!A212</f>
        <v>1999</v>
      </c>
      <c r="B7" s="6">
        <f>'Purchased Power Model'!B212</f>
        <v>586785297.19999993</v>
      </c>
      <c r="C7" s="6">
        <f>'Purchased Power Model'!J212</f>
        <v>586985728.21796286</v>
      </c>
      <c r="D7" s="33">
        <f t="shared" ref="D7:D16" si="0">C7-B7</f>
        <v>200431.01796293259</v>
      </c>
      <c r="E7" s="5">
        <f t="shared" ref="E7:E16" si="1">D7/B7</f>
        <v>3.4157471040829039E-4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2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Model'!A213</f>
        <v>2000</v>
      </c>
      <c r="B8" s="6">
        <f>'Purchased Power Model'!B213</f>
        <v>590756479.69999993</v>
      </c>
      <c r="C8" s="6">
        <f>'Purchased Power Model'!J213</f>
        <v>589375854.57640064</v>
      </c>
      <c r="D8" s="33">
        <f t="shared" si="0"/>
        <v>-1380625.1235992908</v>
      </c>
      <c r="E8" s="5">
        <f t="shared" si="1"/>
        <v>-2.3370460943575345E-3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2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Model'!A214</f>
        <v>2001</v>
      </c>
      <c r="B9" s="6">
        <f>'Purchased Power Model'!B214</f>
        <v>587842839.79999995</v>
      </c>
      <c r="C9" s="6">
        <f>'Purchased Power Model'!J214</f>
        <v>586625929.16793203</v>
      </c>
      <c r="D9" s="33">
        <f t="shared" si="0"/>
        <v>-1216910.6320679188</v>
      </c>
      <c r="E9" s="5">
        <f t="shared" si="1"/>
        <v>-2.0701292074629075E-3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2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Model'!A215</f>
        <v>2002</v>
      </c>
      <c r="B10" s="6">
        <f>'Purchased Power Model'!B215</f>
        <v>593838876.10000002</v>
      </c>
      <c r="C10" s="6">
        <f>'Purchased Power Model'!J215</f>
        <v>598006237.51023877</v>
      </c>
      <c r="D10" s="33">
        <f t="shared" si="0"/>
        <v>4167361.4102387428</v>
      </c>
      <c r="E10" s="5">
        <f t="shared" si="1"/>
        <v>7.0176635076632746E-3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2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Model'!A216</f>
        <v>2003</v>
      </c>
      <c r="B11" s="6">
        <f>'Purchased Power Model'!B216</f>
        <v>594630408</v>
      </c>
      <c r="C11" s="6">
        <f>'Purchased Power Model'!J216</f>
        <v>594807571.51405835</v>
      </c>
      <c r="D11" s="33">
        <f t="shared" si="0"/>
        <v>177163.51405835152</v>
      </c>
      <c r="E11" s="5">
        <f t="shared" si="1"/>
        <v>2.9793887375223423E-4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2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Model'!A217</f>
        <v>2004</v>
      </c>
      <c r="B12" s="6">
        <f>'Purchased Power Model'!B217</f>
        <v>601756740</v>
      </c>
      <c r="C12" s="6">
        <f>'Purchased Power Model'!J217</f>
        <v>598114414.14720607</v>
      </c>
      <c r="D12" s="33">
        <f t="shared" si="0"/>
        <v>-3642325.852793932</v>
      </c>
      <c r="E12" s="5">
        <f t="shared" si="1"/>
        <v>-6.0528210332865271E-3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2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Model'!A218</f>
        <v>2005</v>
      </c>
      <c r="B13" s="6">
        <f>'Purchased Power Model'!B218</f>
        <v>606363661</v>
      </c>
      <c r="C13" s="6">
        <f>'Purchased Power Model'!J218</f>
        <v>602326294.25683236</v>
      </c>
      <c r="D13" s="33">
        <f t="shared" si="0"/>
        <v>-4037366.7431676388</v>
      </c>
      <c r="E13" s="5">
        <f t="shared" si="1"/>
        <v>-6.6583256927193052E-3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2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Model'!A219</f>
        <v>2006</v>
      </c>
      <c r="B14" s="6">
        <f>'Purchased Power Model'!B219</f>
        <v>585762798</v>
      </c>
      <c r="C14" s="6">
        <f>'Purchased Power Model'!J219</f>
        <v>585663679.63589358</v>
      </c>
      <c r="D14" s="33">
        <f t="shared" si="0"/>
        <v>-99118.364106416702</v>
      </c>
      <c r="E14" s="5">
        <f t="shared" si="1"/>
        <v>-1.6921246013717776E-4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2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Model'!A220</f>
        <v>2007</v>
      </c>
      <c r="B15" s="6">
        <f>'Purchased Power Model'!B220</f>
        <v>598640314</v>
      </c>
      <c r="C15" s="6">
        <f>'Purchased Power Model'!J220</f>
        <v>599930778.40315473</v>
      </c>
      <c r="D15" s="33">
        <f t="shared" si="0"/>
        <v>1290464.4031547308</v>
      </c>
      <c r="E15" s="5">
        <f t="shared" si="1"/>
        <v>2.1556590376149154E-3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2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Model'!A221</f>
        <v>2008</v>
      </c>
      <c r="B16" s="6">
        <f>'Purchased Power Model'!B221</f>
        <v>594903991</v>
      </c>
      <c r="C16" s="6">
        <f>'Purchased Power Model'!J221</f>
        <v>595332146.99348593</v>
      </c>
      <c r="D16" s="33">
        <f t="shared" si="0"/>
        <v>428155.99348592758</v>
      </c>
      <c r="E16" s="5">
        <f t="shared" si="1"/>
        <v>7.1970603654250424E-4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2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Model'!B222</f>
        <v>580320683.07692301</v>
      </c>
      <c r="C17" s="6">
        <f>'Purchased Power Model'!J222</f>
        <v>590099156.50196898</v>
      </c>
      <c r="D17" s="33">
        <f t="shared" ref="D17:D22" si="5">C17-B17</f>
        <v>9778473.4250459671</v>
      </c>
      <c r="E17" s="5">
        <f t="shared" ref="E17:E22" si="6">D17/B17</f>
        <v>1.6850120476836088E-2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2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Model'!A223</f>
        <v>2010</v>
      </c>
      <c r="B18" s="6">
        <f>'Purchased Power Model'!B223</f>
        <v>592105953.84615386</v>
      </c>
      <c r="C18" s="6">
        <f>'Purchased Power Model'!J223</f>
        <v>586298736.03698146</v>
      </c>
      <c r="D18" s="33">
        <f t="shared" si="5"/>
        <v>-5807217.8091723919</v>
      </c>
      <c r="E18" s="5">
        <f t="shared" si="6"/>
        <v>-9.8077341925889069E-3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2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Model'!A224</f>
        <v>2011</v>
      </c>
      <c r="B19" s="6">
        <f>'Purchased Power Model'!B224</f>
        <v>593738607.69230771</v>
      </c>
      <c r="C19" s="6">
        <f>'Purchased Power Model'!J224</f>
        <v>593880122.45326924</v>
      </c>
      <c r="D19" s="33">
        <f t="shared" si="5"/>
        <v>141514.76096153259</v>
      </c>
      <c r="E19" s="5">
        <f t="shared" si="6"/>
        <v>2.3834522318088767E-4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2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Model'!A225</f>
        <v>2012</v>
      </c>
      <c r="B20" s="6">
        <f>'Purchased Power Model'!B225</f>
        <v>572612692.67601395</v>
      </c>
      <c r="C20" s="6">
        <f>'Purchased Power Model'!J225</f>
        <v>561745318.85782051</v>
      </c>
      <c r="D20" s="33">
        <f t="shared" si="5"/>
        <v>-10867373.818193436</v>
      </c>
      <c r="E20" s="5">
        <f t="shared" si="6"/>
        <v>-1.8978576544306937E-2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2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Model'!A226</f>
        <v>2013</v>
      </c>
      <c r="B21" s="6">
        <f>'Purchased Power Model'!B226</f>
        <v>573172084.77666664</v>
      </c>
      <c r="C21" s="6">
        <f>'Purchased Power Model'!J226</f>
        <v>571754144.49538946</v>
      </c>
      <c r="D21" s="33">
        <f t="shared" si="5"/>
        <v>-1417940.2812771797</v>
      </c>
      <c r="E21" s="5">
        <f t="shared" si="6"/>
        <v>-2.4738474167486234E-3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2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Model'!A227</f>
        <v>2014</v>
      </c>
      <c r="B22" s="6">
        <f>+'Purchased Power Model'!B227</f>
        <v>561189731.7228204</v>
      </c>
      <c r="C22" s="21">
        <f>'Purchased Power Model'!J227</f>
        <v>573475045.82229114</v>
      </c>
      <c r="D22" s="33">
        <f t="shared" si="5"/>
        <v>12285314.099470735</v>
      </c>
      <c r="E22" s="5">
        <f t="shared" si="6"/>
        <v>2.1891551831776258E-2</v>
      </c>
      <c r="F22" s="18">
        <f>1 +(B22-G22)/G22</f>
        <v>1.0431364633798155</v>
      </c>
      <c r="G22" s="21">
        <f>SUM(H22:N22)</f>
        <v>537983045.77000117</v>
      </c>
      <c r="H22" s="6">
        <v>205950079.75000036</v>
      </c>
      <c r="I22" s="6">
        <v>85369054.680000916</v>
      </c>
      <c r="J22" s="6">
        <v>217236187.44</v>
      </c>
      <c r="K22" s="6">
        <v>26926555.820000004</v>
      </c>
      <c r="L22" s="6">
        <v>2026565.8900000001</v>
      </c>
      <c r="M22" s="6">
        <v>423992.64000000048</v>
      </c>
      <c r="N22" s="182">
        <v>50609.549999999988</v>
      </c>
      <c r="O22" s="6">
        <f>+I22+J22+K22</f>
        <v>329531797.94000089</v>
      </c>
      <c r="P22"/>
    </row>
    <row r="23" spans="1:20" x14ac:dyDescent="0.2">
      <c r="A23">
        <f>'Purchased Power Model'!A228</f>
        <v>2015</v>
      </c>
      <c r="B23" s="15"/>
      <c r="C23" s="21">
        <f>'Purchased Power Model'!J228</f>
        <v>570295995.86402392</v>
      </c>
      <c r="D23" s="33"/>
      <c r="E23" s="5"/>
      <c r="G23" s="15">
        <f>C23/F$26</f>
        <v>546093286.67639852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316</v>
      </c>
      <c r="F26" s="171">
        <f>AVERAGE(F20:F22)</f>
        <v>1.0443197339687631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156</v>
      </c>
      <c r="F27" s="18">
        <v>1.048</v>
      </c>
    </row>
    <row r="28" spans="1:20" x14ac:dyDescent="0.2">
      <c r="E28" s="270" t="s">
        <v>199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7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7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7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7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7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7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7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7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7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7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21">
        <f>H22/'Rate Class Customer Model'!B18</f>
        <v>9752.8095728560093</v>
      </c>
      <c r="I46" s="21">
        <f>I22/'Rate Class Customer Model'!C18</f>
        <v>32129.866270229926</v>
      </c>
      <c r="J46" s="21">
        <f>J22/'Rate Class Customer Model'!D18</f>
        <v>862048.36285714281</v>
      </c>
      <c r="K46" s="21">
        <f>K22/'Rate Class Customer Model'!E18</f>
        <v>13463277.910000002</v>
      </c>
      <c r="L46" s="21">
        <f>L22/'Rate Class Customer Model'!F18</f>
        <v>373.97414467613953</v>
      </c>
      <c r="M46" s="21">
        <f>M22/'Rate Class Customer Model'!G18</f>
        <v>992.95700234192145</v>
      </c>
      <c r="N46" s="21">
        <f>N22/'Rate Class Customer Model'!H18</f>
        <v>4600.8681818181803</v>
      </c>
    </row>
    <row r="47" spans="1:14" x14ac:dyDescent="0.2">
      <c r="A47">
        <v>2015</v>
      </c>
      <c r="H47" s="15">
        <f>H46*$H$66</f>
        <v>9727.4582563923977</v>
      </c>
      <c r="I47" s="15">
        <f>I46*$I$66</f>
        <v>32035.556110599056</v>
      </c>
      <c r="J47" s="15">
        <f>J46*$J$66</f>
        <v>861255.78667274606</v>
      </c>
      <c r="K47" s="15">
        <f>K46*$K$66</f>
        <v>12100530.845693093</v>
      </c>
      <c r="L47" s="216">
        <f>S101/G95</f>
        <v>372.53377138848714</v>
      </c>
      <c r="M47" s="15">
        <f>M46*$M$66</f>
        <v>985.33809159265229</v>
      </c>
      <c r="N47" s="15">
        <f>N46*$N$66</f>
        <v>4577.8086330931574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8">H32/H31</f>
        <v>0.98315174892096335</v>
      </c>
      <c r="I50" s="59">
        <f t="shared" si="8"/>
        <v>1.0015275492881142</v>
      </c>
      <c r="J50" s="59">
        <f t="shared" si="8"/>
        <v>1.0054580216534952</v>
      </c>
      <c r="K50" s="59">
        <f t="shared" si="8"/>
        <v>1.0308798629763327</v>
      </c>
      <c r="L50" s="59">
        <f t="shared" si="8"/>
        <v>0.810627363032702</v>
      </c>
      <c r="M50" s="59">
        <f t="shared" si="8"/>
        <v>0.88331401761375561</v>
      </c>
      <c r="N50" s="59">
        <f t="shared" si="8"/>
        <v>0.92308412339100332</v>
      </c>
      <c r="O50" s="21"/>
      <c r="P50" s="319"/>
      <c r="Q50" s="319"/>
      <c r="R50" s="319"/>
      <c r="S50" s="319"/>
      <c r="T50" s="319"/>
      <c r="U50" s="319"/>
      <c r="V50" s="319"/>
      <c r="W50" s="319"/>
    </row>
    <row r="51" spans="1:23" x14ac:dyDescent="0.2">
      <c r="A51" s="34">
        <v>2001</v>
      </c>
      <c r="D51" s="6"/>
      <c r="H51" s="19">
        <f t="shared" ref="H51:N51" si="9">H33/H32</f>
        <v>0.98286603219068014</v>
      </c>
      <c r="I51" s="19">
        <f t="shared" si="9"/>
        <v>0.96435843084656125</v>
      </c>
      <c r="J51" s="19">
        <f t="shared" si="9"/>
        <v>0.95782764998282666</v>
      </c>
      <c r="K51" s="19">
        <f t="shared" si="9"/>
        <v>0.95872585909658947</v>
      </c>
      <c r="L51" s="19">
        <f t="shared" si="9"/>
        <v>0.9846967541426126</v>
      </c>
      <c r="M51" s="19">
        <f t="shared" si="9"/>
        <v>0.9102487011025252</v>
      </c>
      <c r="N51" s="19">
        <f t="shared" si="9"/>
        <v>1.0053912974000001</v>
      </c>
      <c r="P51" s="319"/>
      <c r="Q51" s="319"/>
      <c r="R51" s="319"/>
      <c r="S51" s="319"/>
      <c r="T51" s="319"/>
      <c r="U51" s="319"/>
      <c r="V51" s="319"/>
      <c r="W51" s="319"/>
    </row>
    <row r="52" spans="1:23" x14ac:dyDescent="0.2">
      <c r="A52" s="34">
        <v>2002</v>
      </c>
      <c r="D52" s="6"/>
      <c r="H52" s="19">
        <f t="shared" ref="H52:N52" si="10">H34/H33</f>
        <v>1.0292950014079429</v>
      </c>
      <c r="I52" s="19">
        <f t="shared" si="10"/>
        <v>0.97116337846911216</v>
      </c>
      <c r="J52" s="19">
        <f t="shared" si="10"/>
        <v>0.99323970254921379</v>
      </c>
      <c r="K52" s="19">
        <f t="shared" si="10"/>
        <v>0.84193139464114608</v>
      </c>
      <c r="L52" s="19">
        <f t="shared" si="10"/>
        <v>0.97228890850156768</v>
      </c>
      <c r="M52" s="19">
        <f t="shared" ref="M52:M64" si="11">M34/M33</f>
        <v>0.90139902906418012</v>
      </c>
      <c r="N52" s="19">
        <f t="shared" si="10"/>
        <v>0.99731976467019168</v>
      </c>
      <c r="P52" s="319"/>
      <c r="Q52" s="319"/>
      <c r="R52" s="319"/>
      <c r="S52" s="319"/>
      <c r="T52" s="319"/>
      <c r="U52" s="319"/>
      <c r="V52" s="319"/>
      <c r="W52" s="319"/>
    </row>
    <row r="53" spans="1:23" x14ac:dyDescent="0.2">
      <c r="A53" s="34">
        <v>2003</v>
      </c>
      <c r="D53" s="6"/>
      <c r="H53" s="19">
        <f t="shared" ref="H53:N53" si="12">H35/H34</f>
        <v>1.0211427150611563</v>
      </c>
      <c r="I53" s="19">
        <f t="shared" si="12"/>
        <v>0.99113968347679393</v>
      </c>
      <c r="J53" s="19">
        <f t="shared" si="12"/>
        <v>1.0108751358962846</v>
      </c>
      <c r="K53" s="19">
        <f t="shared" si="12"/>
        <v>1.4396214216639636</v>
      </c>
      <c r="L53" s="19">
        <f t="shared" si="12"/>
        <v>1.0438341586417577</v>
      </c>
      <c r="M53" s="19">
        <f t="shared" si="11"/>
        <v>0.77602596126475776</v>
      </c>
      <c r="N53" s="19">
        <f t="shared" si="12"/>
        <v>0.94371578680330881</v>
      </c>
      <c r="P53" s="319"/>
      <c r="Q53" s="319"/>
      <c r="R53" s="319"/>
      <c r="S53" s="319"/>
      <c r="T53" s="319"/>
      <c r="U53" s="319"/>
      <c r="V53" s="319"/>
      <c r="W53" s="319"/>
    </row>
    <row r="54" spans="1:23" x14ac:dyDescent="0.2">
      <c r="A54" s="34">
        <v>2004</v>
      </c>
      <c r="D54" s="6"/>
      <c r="H54" s="19">
        <f t="shared" ref="H54:N54" si="13">H36/H35</f>
        <v>0.99439558633605485</v>
      </c>
      <c r="I54" s="19">
        <f t="shared" si="13"/>
        <v>0.99708045452820393</v>
      </c>
      <c r="J54" s="19">
        <f t="shared" si="13"/>
        <v>1.0082779585587975</v>
      </c>
      <c r="K54" s="19">
        <f t="shared" si="13"/>
        <v>1.0320985511431573</v>
      </c>
      <c r="L54" s="19">
        <f t="shared" si="13"/>
        <v>1.004468551033191</v>
      </c>
      <c r="M54" s="19">
        <f t="shared" si="11"/>
        <v>1.1865026133149283</v>
      </c>
      <c r="N54" s="19">
        <f t="shared" si="13"/>
        <v>1.053050313258157</v>
      </c>
      <c r="P54" s="319"/>
      <c r="Q54" s="319"/>
      <c r="R54" s="319"/>
      <c r="S54" s="319"/>
      <c r="T54" s="319"/>
      <c r="U54" s="319"/>
      <c r="V54" s="319"/>
      <c r="W54" s="319"/>
    </row>
    <row r="55" spans="1:23" x14ac:dyDescent="0.2">
      <c r="A55" s="34">
        <v>2005</v>
      </c>
      <c r="D55" s="6"/>
      <c r="H55" s="19">
        <f t="shared" ref="H55:N55" si="14">H37/H36</f>
        <v>1.0062156195129182</v>
      </c>
      <c r="I55" s="19">
        <f t="shared" si="14"/>
        <v>1.0155713199574963</v>
      </c>
      <c r="J55" s="19">
        <f t="shared" si="14"/>
        <v>1.0280888438939988</v>
      </c>
      <c r="K55" s="19">
        <f t="shared" si="14"/>
        <v>0.9772863873893215</v>
      </c>
      <c r="L55" s="19">
        <f t="shared" si="14"/>
        <v>0.94896934872851657</v>
      </c>
      <c r="M55" s="19">
        <f t="shared" si="11"/>
        <v>1.0107702966303496</v>
      </c>
      <c r="N55" s="19">
        <f t="shared" si="14"/>
        <v>0.95777559903456599</v>
      </c>
      <c r="P55" s="319"/>
      <c r="Q55" s="319"/>
      <c r="R55" s="319"/>
      <c r="S55" s="319"/>
      <c r="T55" s="319"/>
      <c r="U55" s="319"/>
      <c r="V55" s="319"/>
      <c r="W55" s="319"/>
    </row>
    <row r="56" spans="1:23" x14ac:dyDescent="0.2">
      <c r="A56" s="34">
        <v>2006</v>
      </c>
      <c r="D56" s="6"/>
      <c r="H56" s="19">
        <f t="shared" ref="H56:N56" si="15">H38/H37</f>
        <v>0.94881290925728468</v>
      </c>
      <c r="I56" s="19">
        <f t="shared" si="15"/>
        <v>0.95723735238134966</v>
      </c>
      <c r="J56" s="19">
        <f t="shared" si="15"/>
        <v>0.97189759930542219</v>
      </c>
      <c r="K56" s="19">
        <f t="shared" si="15"/>
        <v>0.90441577262314554</v>
      </c>
      <c r="L56" s="19">
        <f t="shared" si="15"/>
        <v>1.0009411513131716</v>
      </c>
      <c r="M56" s="19">
        <f t="shared" si="11"/>
        <v>0.85833870867398931</v>
      </c>
      <c r="N56" s="19">
        <f t="shared" si="15"/>
        <v>0.99529938995358513</v>
      </c>
      <c r="P56" s="319"/>
      <c r="Q56" s="319"/>
      <c r="R56" s="319"/>
      <c r="S56" s="319"/>
      <c r="T56" s="319"/>
      <c r="U56" s="319"/>
      <c r="V56" s="319"/>
      <c r="W56" s="319"/>
    </row>
    <row r="57" spans="1:23" x14ac:dyDescent="0.2">
      <c r="A57" s="34">
        <v>2007</v>
      </c>
      <c r="D57" s="6"/>
      <c r="H57" s="19">
        <f t="shared" ref="H57:L64" si="16">H39/H38</f>
        <v>1.0201432446684664</v>
      </c>
      <c r="I57" s="19">
        <f t="shared" si="16"/>
        <v>1.0142103646054685</v>
      </c>
      <c r="J57" s="19">
        <f t="shared" si="16"/>
        <v>0.99586662783433466</v>
      </c>
      <c r="K57" s="19">
        <f t="shared" si="16"/>
        <v>0.96751538405990567</v>
      </c>
      <c r="L57" s="19">
        <f t="shared" si="16"/>
        <v>1.0041202460868328</v>
      </c>
      <c r="M57" s="19">
        <f t="shared" si="11"/>
        <v>1.0330567220192841</v>
      </c>
      <c r="N57" s="19">
        <f t="shared" ref="N57:N64" si="17">N39/N38</f>
        <v>0.99967376668145735</v>
      </c>
      <c r="P57" s="319"/>
      <c r="Q57" s="319"/>
      <c r="R57" s="319"/>
      <c r="S57" s="319"/>
      <c r="T57" s="319"/>
      <c r="U57" s="319"/>
      <c r="V57" s="319"/>
      <c r="W57" s="319"/>
    </row>
    <row r="58" spans="1:23" x14ac:dyDescent="0.2">
      <c r="A58" s="34">
        <v>2008</v>
      </c>
      <c r="D58" s="6"/>
      <c r="H58" s="19">
        <f t="shared" si="16"/>
        <v>1.0017002009422007</v>
      </c>
      <c r="I58" s="19">
        <f t="shared" si="16"/>
        <v>0.99310652529270249</v>
      </c>
      <c r="J58" s="19">
        <f t="shared" si="16"/>
        <v>0.98834720388065722</v>
      </c>
      <c r="K58" s="19">
        <f t="shared" si="16"/>
        <v>0.89186941721237822</v>
      </c>
      <c r="L58" s="19">
        <f t="shared" si="16"/>
        <v>1.0035456614832363</v>
      </c>
      <c r="M58" s="19">
        <f t="shared" si="11"/>
        <v>1.1058054863533093</v>
      </c>
      <c r="N58" s="19">
        <f t="shared" si="17"/>
        <v>0.95036304827220652</v>
      </c>
      <c r="P58" s="319"/>
      <c r="Q58" s="319"/>
      <c r="R58" s="319"/>
      <c r="S58" s="319"/>
      <c r="T58" s="319"/>
      <c r="U58" s="319"/>
      <c r="V58" s="319"/>
      <c r="W58" s="319"/>
    </row>
    <row r="59" spans="1:23" x14ac:dyDescent="0.2">
      <c r="A59">
        <v>2009</v>
      </c>
      <c r="D59" s="6"/>
      <c r="H59" s="19">
        <f t="shared" si="16"/>
        <v>0.99367418852500633</v>
      </c>
      <c r="I59" s="19">
        <f t="shared" si="16"/>
        <v>0.98026189135132702</v>
      </c>
      <c r="J59" s="19">
        <f t="shared" si="16"/>
        <v>0.97022564604837624</v>
      </c>
      <c r="K59" s="19">
        <f t="shared" si="16"/>
        <v>0.84929266148058735</v>
      </c>
      <c r="L59" s="19">
        <f t="shared" si="16"/>
        <v>0.994810739699025</v>
      </c>
      <c r="M59" s="19">
        <f t="shared" si="11"/>
        <v>0.98862648725585733</v>
      </c>
      <c r="N59" s="19">
        <f t="shared" si="17"/>
        <v>0.88784259754106398</v>
      </c>
      <c r="P59" s="319"/>
      <c r="Q59" s="319"/>
      <c r="R59" s="319"/>
      <c r="S59" s="319"/>
      <c r="T59" s="319"/>
      <c r="U59" s="319"/>
      <c r="V59" s="319"/>
      <c r="W59" s="319"/>
    </row>
    <row r="60" spans="1:23" x14ac:dyDescent="0.2">
      <c r="A60">
        <v>2010</v>
      </c>
      <c r="D60" s="6"/>
      <c r="H60" s="19">
        <f t="shared" si="16"/>
        <v>0.96306166194793075</v>
      </c>
      <c r="I60" s="19">
        <f t="shared" si="16"/>
        <v>0.9714924425221183</v>
      </c>
      <c r="J60" s="19">
        <f t="shared" si="16"/>
        <v>1.115491848710416</v>
      </c>
      <c r="K60" s="19">
        <f t="shared" si="16"/>
        <v>1.0849004093018126</v>
      </c>
      <c r="L60" s="19">
        <f t="shared" si="16"/>
        <v>1.0002512044104652</v>
      </c>
      <c r="M60" s="19">
        <f t="shared" si="11"/>
        <v>1.0385876512732779</v>
      </c>
      <c r="N60" s="19">
        <f t="shared" si="17"/>
        <v>0.58519342498745841</v>
      </c>
      <c r="P60" s="319"/>
      <c r="Q60" s="319"/>
      <c r="R60" s="319"/>
      <c r="S60" s="319"/>
      <c r="T60" s="319"/>
      <c r="U60" s="319"/>
      <c r="V60" s="319"/>
      <c r="W60" s="319"/>
    </row>
    <row r="61" spans="1:23" x14ac:dyDescent="0.2">
      <c r="A61">
        <v>2011</v>
      </c>
      <c r="D61" s="6"/>
      <c r="H61" s="19">
        <f t="shared" si="16"/>
        <v>0.99713148515840366</v>
      </c>
      <c r="I61" s="19">
        <f t="shared" si="16"/>
        <v>1.0035886880974361</v>
      </c>
      <c r="J61" s="19">
        <f t="shared" si="16"/>
        <v>1.0108419597883083</v>
      </c>
      <c r="K61" s="19">
        <f t="shared" si="16"/>
        <v>0.90393774915234137</v>
      </c>
      <c r="L61" s="19">
        <f t="shared" si="16"/>
        <v>0.96353483930659622</v>
      </c>
      <c r="M61" s="19">
        <f t="shared" si="11"/>
        <v>0.90836522604319314</v>
      </c>
      <c r="N61" s="19">
        <f t="shared" si="17"/>
        <v>0.5374416155429419</v>
      </c>
      <c r="P61" s="319"/>
      <c r="Q61" s="319"/>
      <c r="R61" s="319"/>
      <c r="S61" s="319"/>
      <c r="T61" s="319"/>
      <c r="U61" s="319"/>
      <c r="V61" s="319"/>
      <c r="W61" s="319"/>
    </row>
    <row r="62" spans="1:23" x14ac:dyDescent="0.2">
      <c r="A62">
        <v>2012</v>
      </c>
      <c r="D62" s="6"/>
      <c r="H62" s="19">
        <f t="shared" si="16"/>
        <v>0.96848819005590592</v>
      </c>
      <c r="I62" s="19">
        <f t="shared" si="16"/>
        <v>0.9908137858043955</v>
      </c>
      <c r="J62" s="19">
        <f t="shared" si="16"/>
        <v>1.0187785262225009</v>
      </c>
      <c r="K62" s="19">
        <f t="shared" si="16"/>
        <v>0.96321931025614327</v>
      </c>
      <c r="L62" s="19">
        <f t="shared" si="16"/>
        <v>0.87082761097907657</v>
      </c>
      <c r="M62" s="19">
        <f t="shared" si="11"/>
        <v>1.0738218836342837</v>
      </c>
      <c r="N62" s="19">
        <f t="shared" si="17"/>
        <v>1.1180288329324661</v>
      </c>
      <c r="P62" s="319"/>
      <c r="Q62" s="319"/>
      <c r="R62" s="319"/>
      <c r="S62" s="319"/>
      <c r="T62" s="319"/>
      <c r="U62" s="319"/>
      <c r="V62" s="319"/>
      <c r="W62" s="319"/>
    </row>
    <row r="63" spans="1:23" x14ac:dyDescent="0.2">
      <c r="A63">
        <v>2013</v>
      </c>
      <c r="D63" s="6"/>
      <c r="H63" s="19">
        <f t="shared" si="16"/>
        <v>1.0341824255472436</v>
      </c>
      <c r="I63" s="19">
        <f t="shared" si="16"/>
        <v>1.000495942302857</v>
      </c>
      <c r="J63" s="19">
        <f t="shared" si="16"/>
        <v>0.96457810995143078</v>
      </c>
      <c r="K63" s="19">
        <f t="shared" si="16"/>
        <v>1.0014630435248235</v>
      </c>
      <c r="L63" s="19">
        <f t="shared" si="16"/>
        <v>0.84160126039978744</v>
      </c>
      <c r="M63" s="19">
        <f t="shared" si="11"/>
        <v>0.95281500324440449</v>
      </c>
      <c r="N63" s="19">
        <f t="shared" si="17"/>
        <v>1.1372868414488593</v>
      </c>
      <c r="P63" s="319"/>
      <c r="Q63" s="319"/>
      <c r="R63" s="319"/>
      <c r="S63" s="319"/>
      <c r="T63" s="319"/>
      <c r="U63" s="319"/>
      <c r="V63" s="319"/>
      <c r="W63" s="319"/>
    </row>
    <row r="64" spans="1:23" x14ac:dyDescent="0.2">
      <c r="A64" s="58">
        <v>2014</v>
      </c>
      <c r="D64" s="6"/>
      <c r="H64" s="19">
        <f t="shared" si="16"/>
        <v>0.99064353861320653</v>
      </c>
      <c r="I64" s="19">
        <f t="shared" si="16"/>
        <v>0.99991406229230828</v>
      </c>
      <c r="J64" s="19">
        <f t="shared" si="16"/>
        <v>1.0148091637705166</v>
      </c>
      <c r="K64" s="19">
        <f t="shared" si="16"/>
        <v>0.7526632811231635</v>
      </c>
      <c r="L64" s="19">
        <f t="shared" si="16"/>
        <v>0.88768900238658077</v>
      </c>
      <c r="M64" s="19">
        <f t="shared" si="11"/>
        <v>0.95504459482453208</v>
      </c>
      <c r="N64" s="19">
        <f t="shared" si="17"/>
        <v>0.77469456949840498</v>
      </c>
      <c r="P64" s="319"/>
      <c r="Q64" s="319"/>
      <c r="R64" s="319"/>
      <c r="S64" s="319"/>
      <c r="T64" s="319"/>
      <c r="U64" s="319"/>
      <c r="V64" s="319"/>
      <c r="W64" s="319"/>
    </row>
    <row r="65" spans="1:24" x14ac:dyDescent="0.2">
      <c r="A65" s="3"/>
      <c r="D65" s="6"/>
      <c r="E65" s="6"/>
      <c r="F65" s="6"/>
      <c r="H65" s="21"/>
      <c r="I65" s="21"/>
      <c r="J65" s="21"/>
      <c r="K65" s="21"/>
      <c r="L65" s="21"/>
      <c r="M65" s="21"/>
      <c r="N65" s="21"/>
    </row>
    <row r="66" spans="1:24" x14ac:dyDescent="0.2">
      <c r="A66" t="s">
        <v>19</v>
      </c>
      <c r="D66" s="6"/>
      <c r="H66" s="19">
        <f t="shared" ref="H66:N66" si="18">H68</f>
        <v>0.99740061402058233</v>
      </c>
      <c r="I66" s="19">
        <f t="shared" si="18"/>
        <v>0.99706471982056599</v>
      </c>
      <c r="J66" s="19">
        <f t="shared" si="18"/>
        <v>0.99908058965303315</v>
      </c>
      <c r="K66" s="19">
        <f t="shared" si="18"/>
        <v>0.89878044014119973</v>
      </c>
      <c r="L66" s="19">
        <f t="shared" si="18"/>
        <v>0.86649581415363153</v>
      </c>
      <c r="M66" s="19">
        <f t="shared" si="18"/>
        <v>0.99232704867250077</v>
      </c>
      <c r="N66" s="19">
        <f t="shared" si="18"/>
        <v>0.99498800056559966</v>
      </c>
    </row>
    <row r="67" spans="1:24" ht="13.5" thickBot="1" x14ac:dyDescent="0.25">
      <c r="A67" s="3"/>
      <c r="D67" s="6"/>
      <c r="H67" s="9"/>
      <c r="I67" s="9"/>
      <c r="K67" s="8"/>
      <c r="L67" s="8"/>
      <c r="M67" s="8"/>
      <c r="N67" s="8"/>
    </row>
    <row r="68" spans="1:24" ht="13.5" thickBot="1" x14ac:dyDescent="0.25">
      <c r="A68" t="s">
        <v>143</v>
      </c>
      <c r="D68" s="6"/>
      <c r="H68" s="59">
        <f>GEOMEAN(H62:H64)</f>
        <v>0.99740061402058233</v>
      </c>
      <c r="I68" s="59">
        <f t="shared" ref="I68:N68" si="19">GEOMEAN(I62:I64)</f>
        <v>0.99706471982056599</v>
      </c>
      <c r="J68" s="59">
        <f t="shared" si="19"/>
        <v>0.99908058965303315</v>
      </c>
      <c r="K68" s="59">
        <f t="shared" si="19"/>
        <v>0.89878044014119973</v>
      </c>
      <c r="L68" s="59">
        <f t="shared" si="19"/>
        <v>0.86649581415363153</v>
      </c>
      <c r="M68" s="59">
        <f t="shared" si="19"/>
        <v>0.99232704867250077</v>
      </c>
      <c r="N68" s="59">
        <f t="shared" si="19"/>
        <v>0.99498800056559966</v>
      </c>
      <c r="O68" s="438" t="s">
        <v>330</v>
      </c>
      <c r="P68" s="439"/>
      <c r="R68" s="259"/>
      <c r="S68" s="259"/>
      <c r="T68" s="259"/>
      <c r="U68" s="259"/>
      <c r="V68" s="259"/>
      <c r="W68" s="259"/>
      <c r="X68" s="259"/>
    </row>
    <row r="69" spans="1:24" x14ac:dyDescent="0.2">
      <c r="D69" s="6"/>
      <c r="H69" s="19"/>
      <c r="I69" s="19"/>
      <c r="J69" s="19"/>
      <c r="K69" s="19"/>
      <c r="L69" s="19"/>
      <c r="M69" s="19"/>
      <c r="N69" s="19"/>
    </row>
    <row r="70" spans="1:24" x14ac:dyDescent="0.2">
      <c r="A70" s="13" t="s">
        <v>44</v>
      </c>
    </row>
    <row r="71" spans="1:24" x14ac:dyDescent="0.2">
      <c r="A71">
        <v>2015</v>
      </c>
      <c r="F71" s="6"/>
      <c r="G71" s="6">
        <f>SUM(H71:N71)</f>
        <v>540650258.11917341</v>
      </c>
      <c r="H71" s="6">
        <f>H47*'Rate Class Customer Model'!B19</f>
        <v>205482828.208033</v>
      </c>
      <c r="I71" s="6">
        <f>I47*'Rate Class Customer Model'!C19</f>
        <v>85470863.703078285</v>
      </c>
      <c r="J71" s="6">
        <f>J47*'Rate Class Customer Model'!D19</f>
        <v>212730179.30816829</v>
      </c>
      <c r="K71" s="6">
        <f>-K85*'Rate Class Customer Model'!E19</f>
        <v>34509620.615214489</v>
      </c>
      <c r="L71" s="215">
        <f>S102</f>
        <v>2018762.3305114082</v>
      </c>
      <c r="M71" s="6">
        <f>M47*'Rate Class Customer Model'!G19</f>
        <v>405959.29373617272</v>
      </c>
      <c r="N71" s="6">
        <f>N47*'Rate Class Customer Model'!H19</f>
        <v>32044.660431652101</v>
      </c>
    </row>
    <row r="72" spans="1:24" x14ac:dyDescent="0.2">
      <c r="Q72" s="440" t="s">
        <v>231</v>
      </c>
    </row>
    <row r="73" spans="1:24" x14ac:dyDescent="0.2">
      <c r="A73" s="13" t="s">
        <v>75</v>
      </c>
      <c r="O73" s="6" t="s">
        <v>18</v>
      </c>
      <c r="P73" s="6" t="s">
        <v>76</v>
      </c>
      <c r="Q73" s="440"/>
    </row>
    <row r="74" spans="1:24" x14ac:dyDescent="0.2">
      <c r="A74">
        <f>A71</f>
        <v>2015</v>
      </c>
      <c r="F74" s="6"/>
      <c r="G74" s="15">
        <f>G23</f>
        <v>546093286.67639852</v>
      </c>
      <c r="H74" s="21">
        <f>H71+H80-H82</f>
        <v>206919586.43430305</v>
      </c>
      <c r="I74" s="21">
        <f>I71+I80-I82</f>
        <v>85952587.08812359</v>
      </c>
      <c r="J74" s="21">
        <f>J71+J80-J82</f>
        <v>208155048.04770923</v>
      </c>
      <c r="K74" s="21">
        <f>K71+K80-K82+K85</f>
        <v>17254810.307607245</v>
      </c>
      <c r="L74" s="21">
        <f>L71+L80-L82</f>
        <v>2018762.3305114082</v>
      </c>
      <c r="M74" s="21">
        <f>M71+M80-M82</f>
        <v>405959.29373617272</v>
      </c>
      <c r="N74" s="21">
        <f>N71+N80-N82</f>
        <v>32044.660431652101</v>
      </c>
      <c r="O74" s="62">
        <f>SUM(H74:N74)</f>
        <v>520738798.16242224</v>
      </c>
      <c r="P74" s="6">
        <f>O82</f>
        <v>8099678.2063688152</v>
      </c>
      <c r="Q74" s="6">
        <f>-K85</f>
        <v>17254810.307607245</v>
      </c>
      <c r="R74" s="6">
        <f>SUM(O74:Q74)</f>
        <v>546093286.67639828</v>
      </c>
      <c r="S74" s="6">
        <f>R74-G74</f>
        <v>0</v>
      </c>
    </row>
    <row r="75" spans="1:24" x14ac:dyDescent="0.2">
      <c r="I75" s="42"/>
      <c r="J75" s="42" t="s">
        <v>73</v>
      </c>
      <c r="K75" s="42"/>
    </row>
    <row r="76" spans="1:24" x14ac:dyDescent="0.2">
      <c r="A76" t="s">
        <v>45</v>
      </c>
      <c r="H76" s="41">
        <v>0.91</v>
      </c>
      <c r="I76" s="41">
        <v>0.91</v>
      </c>
      <c r="J76" s="41">
        <v>0.81620000000000004</v>
      </c>
      <c r="K76" s="41">
        <v>0</v>
      </c>
      <c r="L76" s="41">
        <v>0</v>
      </c>
      <c r="M76" s="41">
        <v>0</v>
      </c>
      <c r="N76" s="41">
        <v>0</v>
      </c>
      <c r="O76" s="6" t="s">
        <v>18</v>
      </c>
    </row>
    <row r="77" spans="1:24" x14ac:dyDescent="0.2">
      <c r="A77">
        <f>A74</f>
        <v>2015</v>
      </c>
      <c r="F77" s="51"/>
      <c r="G77" s="21">
        <f>G74-G71</f>
        <v>5443028.5572251081</v>
      </c>
      <c r="H77" s="21">
        <f t="shared" ref="H77:N77" si="20">H71*H76</f>
        <v>186989373.66931003</v>
      </c>
      <c r="I77" s="21">
        <f t="shared" si="20"/>
        <v>77778485.969801247</v>
      </c>
      <c r="J77" s="21">
        <f t="shared" si="20"/>
        <v>173630372.35132697</v>
      </c>
      <c r="K77" s="21">
        <f t="shared" si="20"/>
        <v>0</v>
      </c>
      <c r="L77" s="6">
        <f t="shared" si="20"/>
        <v>0</v>
      </c>
      <c r="M77" s="6">
        <f t="shared" si="20"/>
        <v>0</v>
      </c>
      <c r="N77" s="6">
        <f t="shared" si="20"/>
        <v>0</v>
      </c>
      <c r="O77" s="6">
        <f>SUM(H77:N77)</f>
        <v>438398231.99043822</v>
      </c>
    </row>
    <row r="78" spans="1:24" ht="12" customHeight="1" x14ac:dyDescent="0.2">
      <c r="G78" s="21"/>
      <c r="H78" s="21"/>
      <c r="I78" s="21"/>
      <c r="J78" s="21"/>
      <c r="K78" s="21"/>
    </row>
    <row r="79" spans="1:24" x14ac:dyDescent="0.2">
      <c r="A79" t="s">
        <v>46</v>
      </c>
      <c r="G79" s="21"/>
      <c r="H79" s="21"/>
      <c r="I79" s="21"/>
      <c r="J79" s="21"/>
      <c r="K79" s="21"/>
    </row>
    <row r="80" spans="1:24" x14ac:dyDescent="0.2">
      <c r="A80">
        <f>A77</f>
        <v>2015</v>
      </c>
      <c r="G80" s="21"/>
      <c r="H80" s="21">
        <f>H77/$O$77*$G$77</f>
        <v>2321607.2203545971</v>
      </c>
      <c r="I80" s="21">
        <f>I77/$O$77*$G$77</f>
        <v>965675.70163146593</v>
      </c>
      <c r="J80" s="21">
        <f>J77/$O$77*$G$77</f>
        <v>2155745.6352390451</v>
      </c>
      <c r="K80" s="21">
        <f t="shared" ref="K80:N80" si="21">K77/$O$77*$G$77</f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6">
        <f>SUM(H80:N80)</f>
        <v>5443028.5572251081</v>
      </c>
      <c r="P80" s="221"/>
      <c r="Q80" s="21"/>
      <c r="R80" s="21"/>
    </row>
    <row r="82" spans="6:22" x14ac:dyDescent="0.2">
      <c r="F82" s="243" t="s">
        <v>76</v>
      </c>
      <c r="G82" s="21" t="s">
        <v>179</v>
      </c>
      <c r="H82" s="15">
        <v>884848.99408454669</v>
      </c>
      <c r="I82" s="15">
        <v>483952.31658616336</v>
      </c>
      <c r="J82" s="15">
        <v>6730876.895698105</v>
      </c>
      <c r="K82" s="15"/>
      <c r="L82" s="15"/>
      <c r="M82" s="15"/>
      <c r="N82" s="15"/>
      <c r="O82" s="6">
        <f>SUM(H82:N82)</f>
        <v>8099678.2063688152</v>
      </c>
      <c r="P82" s="21"/>
      <c r="Q82" s="21"/>
      <c r="R82" s="21"/>
      <c r="S82" s="21"/>
      <c r="T82" s="21"/>
      <c r="U82" s="25"/>
      <c r="V82" s="25"/>
    </row>
    <row r="83" spans="6:22" x14ac:dyDescent="0.2">
      <c r="F83" s="21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5"/>
      <c r="V83" s="25"/>
    </row>
    <row r="84" spans="6:22" x14ac:dyDescent="0.2">
      <c r="F84" s="243" t="s">
        <v>229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5"/>
      <c r="V84" s="25"/>
    </row>
    <row r="85" spans="6:22" x14ac:dyDescent="0.2">
      <c r="F85" s="295" t="s">
        <v>174</v>
      </c>
      <c r="G85" s="21" t="s">
        <v>179</v>
      </c>
      <c r="H85" s="21"/>
      <c r="I85" s="21"/>
      <c r="J85" s="21"/>
      <c r="K85" s="21">
        <v>-17254810.307607245</v>
      </c>
      <c r="L85" s="21"/>
      <c r="M85" s="21"/>
      <c r="N85" s="21"/>
      <c r="O85" s="21"/>
      <c r="P85" s="21"/>
      <c r="Q85" s="21"/>
      <c r="R85" s="21"/>
      <c r="S85" s="21"/>
      <c r="T85" s="21"/>
      <c r="U85" s="25"/>
      <c r="V85" s="25"/>
    </row>
    <row r="86" spans="6:22" x14ac:dyDescent="0.2">
      <c r="F86" s="295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6:22" x14ac:dyDescent="0.2">
      <c r="F87" s="295" t="s">
        <v>230</v>
      </c>
      <c r="G87" s="21" t="s">
        <v>179</v>
      </c>
      <c r="H87" s="21"/>
      <c r="I87" s="21"/>
      <c r="J87" s="21"/>
      <c r="K87" s="296">
        <v>-1</v>
      </c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6:22" x14ac:dyDescent="0.2">
      <c r="F88" s="21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6:22" x14ac:dyDescent="0.2">
      <c r="F89" s="21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6:22" x14ac:dyDescent="0.2">
      <c r="F90" s="21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6:22" x14ac:dyDescent="0.2">
      <c r="F91" s="220" t="s">
        <v>153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U91" s="25"/>
      <c r="V91" s="25"/>
    </row>
    <row r="92" spans="6:22" x14ac:dyDescent="0.2">
      <c r="F92" s="222" t="s">
        <v>173</v>
      </c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"/>
      <c r="U92" s="25"/>
      <c r="V92" s="25"/>
    </row>
    <row r="93" spans="6:22" x14ac:dyDescent="0.2">
      <c r="F93" s="221" t="s">
        <v>174</v>
      </c>
      <c r="G93" s="21"/>
      <c r="H93" s="219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U93" s="25"/>
      <c r="V93" s="25"/>
    </row>
    <row r="94" spans="6:22" x14ac:dyDescent="0.2">
      <c r="F94" s="221" t="s">
        <v>175</v>
      </c>
      <c r="G94" s="21">
        <f>'Rate Class Load Model'!D18</f>
        <v>5641.08</v>
      </c>
      <c r="H94" s="28">
        <f>G94/12</f>
        <v>470.09</v>
      </c>
      <c r="I94" s="219"/>
      <c r="J94" s="21"/>
      <c r="K94" s="21"/>
      <c r="L94" s="21"/>
      <c r="M94" s="21"/>
      <c r="N94" s="21"/>
      <c r="O94" s="21"/>
      <c r="P94" s="21"/>
      <c r="Q94" s="21"/>
      <c r="R94" s="21"/>
      <c r="S94" s="21"/>
      <c r="U94" s="25"/>
      <c r="V94" s="25"/>
    </row>
    <row r="95" spans="6:22" x14ac:dyDescent="0.2">
      <c r="F95" s="221" t="s">
        <v>176</v>
      </c>
      <c r="G95" s="218">
        <f>'Rate Class Customer Model'!F18</f>
        <v>5419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"/>
      <c r="U95" s="25"/>
      <c r="V95" s="25"/>
    </row>
    <row r="96" spans="6:22" x14ac:dyDescent="0.2">
      <c r="F96" s="205" t="s">
        <v>187</v>
      </c>
      <c r="G96" s="21"/>
      <c r="H96" s="219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U96" s="25"/>
      <c r="V96" s="25"/>
    </row>
    <row r="97" spans="6:22" x14ac:dyDescent="0.2">
      <c r="F97" s="6"/>
      <c r="G97" s="191" t="s">
        <v>161</v>
      </c>
      <c r="H97" s="191" t="s">
        <v>162</v>
      </c>
      <c r="I97" s="191" t="s">
        <v>163</v>
      </c>
      <c r="J97" s="191" t="s">
        <v>164</v>
      </c>
      <c r="K97" s="191" t="s">
        <v>165</v>
      </c>
      <c r="L97" s="191" t="s">
        <v>166</v>
      </c>
      <c r="M97" s="191" t="s">
        <v>167</v>
      </c>
      <c r="N97" s="191" t="s">
        <v>168</v>
      </c>
      <c r="O97" s="191" t="s">
        <v>157</v>
      </c>
      <c r="P97" s="191" t="s">
        <v>158</v>
      </c>
      <c r="Q97" s="191" t="s">
        <v>159</v>
      </c>
      <c r="R97" s="191" t="s">
        <v>160</v>
      </c>
      <c r="S97" s="21"/>
      <c r="U97" s="25"/>
      <c r="V97" s="25"/>
    </row>
    <row r="98" spans="6:22" x14ac:dyDescent="0.2">
      <c r="F98" s="221" t="s">
        <v>182</v>
      </c>
      <c r="G98" s="191">
        <v>773.74</v>
      </c>
      <c r="H98" s="191">
        <v>773.74</v>
      </c>
      <c r="I98" s="191">
        <v>773.74</v>
      </c>
      <c r="J98" s="191">
        <v>773.74</v>
      </c>
      <c r="K98" s="191">
        <v>773.74</v>
      </c>
      <c r="L98" s="191">
        <v>773.74</v>
      </c>
      <c r="M98" s="191">
        <v>773.74</v>
      </c>
      <c r="N98" s="191">
        <v>773.74</v>
      </c>
      <c r="O98" s="191">
        <v>773.74</v>
      </c>
      <c r="P98" s="191">
        <v>773.74</v>
      </c>
      <c r="Q98" s="191">
        <v>773.74</v>
      </c>
      <c r="R98" s="191">
        <v>773.74</v>
      </c>
      <c r="S98" s="21"/>
      <c r="U98" s="25"/>
      <c r="V98" s="25"/>
    </row>
    <row r="99" spans="6:22" x14ac:dyDescent="0.2">
      <c r="F99" s="221" t="s">
        <v>183</v>
      </c>
      <c r="G99" s="191">
        <v>357751.58</v>
      </c>
      <c r="H99" s="191">
        <v>296484.03999999998</v>
      </c>
      <c r="I99" s="191">
        <v>289571.92</v>
      </c>
      <c r="J99" s="191">
        <v>242360.87</v>
      </c>
      <c r="K99" s="191">
        <v>216801.68</v>
      </c>
      <c r="L99" s="191">
        <v>192996.27</v>
      </c>
      <c r="M99" s="191">
        <v>207877.87</v>
      </c>
      <c r="N99" s="191">
        <v>237305.75</v>
      </c>
      <c r="O99" s="191">
        <v>265959.96999999997</v>
      </c>
      <c r="P99" s="191">
        <v>312758.32</v>
      </c>
      <c r="Q99" s="191">
        <v>336344.51</v>
      </c>
      <c r="R99" s="191">
        <v>366546.17</v>
      </c>
      <c r="S99" s="21"/>
      <c r="U99" s="25"/>
      <c r="V99" s="25"/>
    </row>
    <row r="100" spans="6:22" x14ac:dyDescent="0.2">
      <c r="F100" s="221" t="s">
        <v>184</v>
      </c>
      <c r="G100" s="191">
        <f>+G99/G98</f>
        <v>462.36666063535557</v>
      </c>
      <c r="H100" s="191">
        <f t="shared" ref="H100:R100" si="22">+H99/H98</f>
        <v>383.18303306020107</v>
      </c>
      <c r="I100" s="191">
        <f t="shared" si="22"/>
        <v>374.24964458345175</v>
      </c>
      <c r="J100" s="191">
        <f t="shared" si="22"/>
        <v>313.23295939204382</v>
      </c>
      <c r="K100" s="191">
        <f t="shared" si="22"/>
        <v>280.19965363041848</v>
      </c>
      <c r="L100" s="191">
        <f t="shared" si="22"/>
        <v>249.43297490112957</v>
      </c>
      <c r="M100" s="191">
        <f t="shared" si="22"/>
        <v>268.66630909607875</v>
      </c>
      <c r="N100" s="191">
        <f t="shared" si="22"/>
        <v>306.699601933466</v>
      </c>
      <c r="O100" s="191">
        <f t="shared" si="22"/>
        <v>343.73299816475816</v>
      </c>
      <c r="P100" s="191">
        <f t="shared" si="22"/>
        <v>404.21630004911214</v>
      </c>
      <c r="Q100" s="191">
        <f t="shared" si="22"/>
        <v>434.69965363041848</v>
      </c>
      <c r="R100" s="191">
        <f t="shared" si="22"/>
        <v>473.73299816475816</v>
      </c>
      <c r="S100" s="21"/>
      <c r="U100" s="25"/>
      <c r="V100" s="25"/>
    </row>
    <row r="101" spans="6:22" x14ac:dyDescent="0.2">
      <c r="F101" s="221" t="s">
        <v>185</v>
      </c>
      <c r="G101" s="224">
        <f>+G100*$H$94</f>
        <v>217353.94349807428</v>
      </c>
      <c r="H101" s="224">
        <f t="shared" ref="H101:R101" si="23">+H100*$H$94</f>
        <v>180130.51201126992</v>
      </c>
      <c r="I101" s="224">
        <f t="shared" si="23"/>
        <v>175931.01542223484</v>
      </c>
      <c r="J101" s="224">
        <f t="shared" si="23"/>
        <v>147247.68188060587</v>
      </c>
      <c r="K101" s="224">
        <f t="shared" si="23"/>
        <v>131719.05517512342</v>
      </c>
      <c r="L101" s="224">
        <f t="shared" si="23"/>
        <v>117255.947171272</v>
      </c>
      <c r="M101" s="224">
        <f t="shared" si="23"/>
        <v>126297.34524297566</v>
      </c>
      <c r="N101" s="224">
        <f t="shared" si="23"/>
        <v>144176.41587290302</v>
      </c>
      <c r="O101" s="224">
        <f t="shared" si="23"/>
        <v>161585.44510727117</v>
      </c>
      <c r="P101" s="224">
        <f t="shared" si="23"/>
        <v>190018.04049008712</v>
      </c>
      <c r="Q101" s="224">
        <f t="shared" si="23"/>
        <v>204347.96017512341</v>
      </c>
      <c r="R101" s="224">
        <f t="shared" si="23"/>
        <v>222697.14510727115</v>
      </c>
      <c r="S101" s="6">
        <f>SUM(G101:R101)</f>
        <v>2018760.5071542119</v>
      </c>
    </row>
    <row r="102" spans="6:22" x14ac:dyDescent="0.2">
      <c r="F102" s="225"/>
      <c r="G102" s="224"/>
      <c r="H102" s="227"/>
      <c r="I102" s="227"/>
      <c r="J102" s="227"/>
      <c r="K102" s="227"/>
      <c r="L102" s="227"/>
      <c r="M102" s="224"/>
      <c r="N102" s="224"/>
      <c r="O102" s="224"/>
      <c r="R102" s="253" t="s">
        <v>186</v>
      </c>
      <c r="S102" s="6">
        <v>2018762.3305114082</v>
      </c>
      <c r="T102" s="189"/>
    </row>
    <row r="103" spans="6:22" x14ac:dyDescent="0.2">
      <c r="F103" s="228"/>
      <c r="G103" s="166" t="s">
        <v>177</v>
      </c>
      <c r="H103" s="224"/>
      <c r="I103" s="224"/>
      <c r="J103" s="224"/>
      <c r="K103" s="224"/>
      <c r="L103" s="224"/>
      <c r="M103" s="224"/>
      <c r="N103" s="224"/>
      <c r="O103" s="224"/>
      <c r="S103" s="6">
        <f>+S101-S102</f>
        <v>-1.8233571962919086</v>
      </c>
    </row>
    <row r="104" spans="6:22" x14ac:dyDescent="0.2">
      <c r="F104" s="229"/>
      <c r="G104" s="232" t="s">
        <v>178</v>
      </c>
      <c r="H104" s="233"/>
      <c r="I104" s="233"/>
      <c r="J104" s="233"/>
      <c r="K104" s="190"/>
      <c r="L104" s="190"/>
      <c r="M104" s="224"/>
      <c r="N104" s="224"/>
      <c r="O104" s="224"/>
    </row>
    <row r="105" spans="6:22" x14ac:dyDescent="0.2">
      <c r="F105" s="229"/>
      <c r="G105" s="139"/>
      <c r="H105" s="374"/>
      <c r="I105" s="190"/>
      <c r="J105" s="190"/>
      <c r="K105" s="190"/>
      <c r="L105" s="190"/>
      <c r="M105" s="224"/>
      <c r="N105" s="224"/>
      <c r="O105" s="224"/>
    </row>
    <row r="106" spans="6:22" x14ac:dyDescent="0.2">
      <c r="F106" s="229"/>
      <c r="G106" s="141"/>
      <c r="H106" s="375"/>
      <c r="I106" s="190"/>
      <c r="J106" s="190"/>
      <c r="K106" s="190"/>
      <c r="L106" s="190"/>
      <c r="M106" s="224"/>
      <c r="N106" s="224"/>
      <c r="O106" s="224"/>
    </row>
    <row r="107" spans="6:22" x14ac:dyDescent="0.2">
      <c r="F107" s="229"/>
      <c r="G107" s="224"/>
      <c r="H107" s="190"/>
      <c r="I107" s="190"/>
      <c r="J107" s="190"/>
      <c r="K107" s="190"/>
      <c r="L107" s="190"/>
      <c r="M107" s="224"/>
      <c r="N107" s="224"/>
      <c r="O107" s="224"/>
    </row>
    <row r="108" spans="6:22" x14ac:dyDescent="0.2">
      <c r="F108" s="229"/>
      <c r="G108" s="224"/>
      <c r="H108" s="190"/>
      <c r="I108" s="190"/>
      <c r="J108" s="190"/>
      <c r="K108" s="190"/>
      <c r="L108" s="190"/>
      <c r="M108" s="224"/>
      <c r="N108" s="224"/>
      <c r="O108" s="224"/>
    </row>
    <row r="109" spans="6:22" x14ac:dyDescent="0.2">
      <c r="F109" s="223"/>
      <c r="G109" s="224"/>
      <c r="H109" s="224"/>
      <c r="I109" s="224"/>
      <c r="J109" s="224"/>
      <c r="K109" s="224"/>
      <c r="L109" s="224"/>
      <c r="M109" s="224"/>
      <c r="N109" s="224"/>
      <c r="O109" s="224"/>
    </row>
    <row r="110" spans="6:22" x14ac:dyDescent="0.2">
      <c r="F110" s="226"/>
      <c r="G110" s="224"/>
      <c r="H110" s="224"/>
      <c r="I110" s="224"/>
      <c r="J110" s="224"/>
      <c r="K110" s="224"/>
      <c r="L110" s="224"/>
      <c r="M110" s="224"/>
      <c r="N110" s="224"/>
      <c r="O110" s="224"/>
    </row>
    <row r="111" spans="6:22" x14ac:dyDescent="0.2">
      <c r="F111" s="226"/>
      <c r="G111" s="224"/>
      <c r="H111" s="224"/>
      <c r="I111" s="224"/>
      <c r="J111" s="224"/>
      <c r="K111" s="224"/>
      <c r="L111" s="224"/>
      <c r="M111" s="224"/>
      <c r="N111" s="224"/>
      <c r="O111" s="224"/>
    </row>
    <row r="112" spans="6:22" x14ac:dyDescent="0.2">
      <c r="F112" s="228"/>
      <c r="G112" s="224"/>
      <c r="H112" s="224"/>
      <c r="I112" s="224"/>
      <c r="J112" s="224"/>
      <c r="K112" s="224"/>
      <c r="L112" s="224"/>
      <c r="M112" s="224"/>
      <c r="N112" s="224"/>
      <c r="O112" s="224"/>
    </row>
    <row r="113" spans="6:15" x14ac:dyDescent="0.2">
      <c r="F113" s="226"/>
      <c r="G113" s="224"/>
      <c r="H113" s="190"/>
      <c r="I113" s="190"/>
      <c r="J113" s="190"/>
      <c r="K113" s="190"/>
      <c r="L113" s="190"/>
      <c r="M113" s="224"/>
      <c r="N113" s="224"/>
      <c r="O113" s="224"/>
    </row>
    <row r="114" spans="6:15" x14ac:dyDescent="0.2">
      <c r="F114" s="226"/>
      <c r="G114" s="224"/>
      <c r="H114" s="224"/>
      <c r="I114" s="224"/>
      <c r="J114" s="224"/>
      <c r="K114" s="224"/>
      <c r="L114" s="224"/>
      <c r="M114" s="224"/>
      <c r="N114" s="224"/>
      <c r="O114" s="224"/>
    </row>
    <row r="115" spans="6:15" x14ac:dyDescent="0.2">
      <c r="F115" s="223"/>
      <c r="G115" s="230"/>
      <c r="H115" s="224"/>
      <c r="I115" s="224"/>
      <c r="J115" s="224"/>
      <c r="K115" s="224"/>
      <c r="L115" s="224"/>
      <c r="M115" s="224"/>
      <c r="N115" s="224"/>
      <c r="O115" s="224"/>
    </row>
    <row r="116" spans="6:15" x14ac:dyDescent="0.2">
      <c r="F116" s="228"/>
      <c r="G116" s="227"/>
      <c r="H116" s="224"/>
      <c r="I116" s="224"/>
      <c r="J116" s="224"/>
      <c r="K116" s="224"/>
      <c r="L116" s="224"/>
      <c r="M116" s="224"/>
      <c r="N116" s="224"/>
      <c r="O116" s="224"/>
    </row>
    <row r="117" spans="6:15" x14ac:dyDescent="0.2">
      <c r="F117" s="226"/>
      <c r="G117" s="227"/>
      <c r="H117" s="190"/>
      <c r="I117" s="190"/>
      <c r="J117" s="190"/>
      <c r="K117" s="190"/>
      <c r="L117" s="190"/>
      <c r="M117" s="224"/>
      <c r="N117" s="224"/>
      <c r="O117" s="224"/>
    </row>
    <row r="118" spans="6:15" x14ac:dyDescent="0.2">
      <c r="F118" s="231"/>
      <c r="G118" s="231"/>
      <c r="H118" s="190"/>
      <c r="I118" s="190"/>
      <c r="J118" s="190"/>
      <c r="K118" s="190"/>
      <c r="L118" s="190"/>
      <c r="M118" s="224"/>
      <c r="N118" s="224"/>
      <c r="O118" s="224"/>
    </row>
    <row r="119" spans="6:15" x14ac:dyDescent="0.2">
      <c r="F119" s="226"/>
      <c r="G119" s="230"/>
      <c r="H119" s="190"/>
      <c r="I119" s="190"/>
      <c r="J119" s="190"/>
      <c r="K119" s="190"/>
      <c r="L119" s="190"/>
      <c r="M119" s="224"/>
      <c r="N119" s="224"/>
      <c r="O119" s="224"/>
    </row>
    <row r="120" spans="6:15" x14ac:dyDescent="0.2">
      <c r="F120" s="226"/>
      <c r="G120" s="227"/>
      <c r="H120" s="190"/>
      <c r="I120" s="190"/>
      <c r="J120" s="190"/>
      <c r="K120" s="190"/>
      <c r="L120" s="190"/>
      <c r="M120" s="224"/>
      <c r="N120" s="224"/>
      <c r="O120" s="224"/>
    </row>
    <row r="121" spans="6:15" x14ac:dyDescent="0.2">
      <c r="F121" s="229"/>
      <c r="G121" s="227"/>
      <c r="H121" s="224"/>
      <c r="I121" s="224"/>
      <c r="J121" s="224"/>
      <c r="K121" s="224"/>
      <c r="L121" s="224"/>
      <c r="M121" s="224"/>
      <c r="N121" s="224"/>
      <c r="O121" s="224"/>
    </row>
    <row r="122" spans="6:15" x14ac:dyDescent="0.2">
      <c r="F122" s="229"/>
      <c r="G122" s="224"/>
      <c r="H122" s="224"/>
      <c r="I122" s="224"/>
      <c r="J122" s="224"/>
      <c r="K122" s="224"/>
      <c r="L122" s="224"/>
      <c r="M122" s="224"/>
      <c r="N122" s="224"/>
      <c r="O122" s="224"/>
    </row>
    <row r="123" spans="6:15" x14ac:dyDescent="0.2">
      <c r="F123" s="226"/>
      <c r="G123" s="231"/>
      <c r="H123" s="224"/>
      <c r="I123" s="224"/>
      <c r="J123" s="224"/>
      <c r="K123" s="224"/>
      <c r="L123" s="224"/>
      <c r="M123" s="224"/>
      <c r="N123" s="224"/>
      <c r="O123" s="224"/>
    </row>
    <row r="124" spans="6:15" x14ac:dyDescent="0.2">
      <c r="F124" s="223"/>
      <c r="G124" s="230"/>
      <c r="H124" s="224"/>
      <c r="I124" s="224"/>
      <c r="J124" s="224"/>
      <c r="K124" s="224"/>
      <c r="L124" s="224"/>
      <c r="M124" s="224"/>
      <c r="N124" s="224"/>
      <c r="O124" s="224"/>
    </row>
    <row r="125" spans="6:15" x14ac:dyDescent="0.2">
      <c r="F125" s="223"/>
      <c r="G125" s="230"/>
      <c r="H125" s="224"/>
      <c r="I125" s="224"/>
      <c r="J125" s="224"/>
      <c r="K125" s="224"/>
      <c r="L125" s="224"/>
      <c r="M125" s="224"/>
      <c r="N125" s="224"/>
      <c r="O125" s="224"/>
    </row>
    <row r="126" spans="6:15" x14ac:dyDescent="0.2">
      <c r="F126" s="223"/>
      <c r="G126" s="230"/>
      <c r="H126" s="224"/>
      <c r="I126" s="224"/>
      <c r="J126" s="224"/>
      <c r="K126" s="224"/>
      <c r="L126" s="224"/>
      <c r="M126" s="224"/>
      <c r="N126" s="224"/>
      <c r="O126" s="224"/>
    </row>
    <row r="127" spans="6:15" x14ac:dyDescent="0.2">
      <c r="F127" s="223"/>
      <c r="G127" s="230"/>
      <c r="H127" s="224"/>
      <c r="I127" s="224"/>
      <c r="J127" s="224"/>
      <c r="K127" s="224"/>
      <c r="L127" s="224"/>
      <c r="M127" s="224"/>
      <c r="N127" s="224"/>
      <c r="O127" s="224"/>
    </row>
    <row r="128" spans="6:15" x14ac:dyDescent="0.2">
      <c r="F128" s="223"/>
      <c r="G128" s="227"/>
      <c r="H128" s="224"/>
      <c r="I128" s="224"/>
      <c r="J128" s="224"/>
      <c r="K128" s="224"/>
      <c r="L128" s="224"/>
      <c r="M128" s="224"/>
      <c r="N128" s="224"/>
      <c r="O128" s="224"/>
    </row>
    <row r="129" spans="6:15" x14ac:dyDescent="0.2">
      <c r="F129" s="223"/>
      <c r="G129" s="227"/>
      <c r="H129" s="224"/>
      <c r="I129" s="224"/>
      <c r="J129" s="224"/>
      <c r="K129" s="224"/>
      <c r="L129" s="224"/>
      <c r="M129" s="224"/>
      <c r="N129" s="224"/>
      <c r="O129" s="224"/>
    </row>
    <row r="130" spans="6:15" x14ac:dyDescent="0.2">
      <c r="F130" s="223"/>
      <c r="G130" s="224"/>
      <c r="H130" s="224"/>
      <c r="I130" s="224"/>
      <c r="J130" s="224"/>
      <c r="K130" s="224"/>
      <c r="L130" s="224"/>
      <c r="M130" s="224"/>
      <c r="N130" s="224"/>
      <c r="O130" s="224"/>
    </row>
  </sheetData>
  <mergeCells count="2">
    <mergeCell ref="O68:P68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5" zoomScaleNormal="85" workbookViewId="0">
      <pane xSplit="1" ySplit="2" topLeftCell="B22" activePane="bottomRight" state="frozen"/>
      <selection activeCell="AB30" sqref="AB30"/>
      <selection pane="topRight" activeCell="AB30" sqref="AB30"/>
      <selection pane="bottomLeft" activeCell="AB30" sqref="AB30"/>
      <selection pane="bottomRight" activeCell="H19" sqref="H19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58" t="s">
        <v>189</v>
      </c>
      <c r="D1"/>
      <c r="E1"/>
      <c r="F1"/>
      <c r="G1"/>
      <c r="H1"/>
      <c r="I1"/>
    </row>
    <row r="2" spans="1:22" s="13" customFormat="1" ht="42" customHeight="1" x14ac:dyDescent="0.2">
      <c r="B2" s="248" t="str">
        <f>'Rate Class Energy Model'!H2</f>
        <v xml:space="preserve">Residential </v>
      </c>
      <c r="C2" s="248" t="str">
        <f>'Rate Class Energy Model'!I2</f>
        <v>General Service &lt; 50 kW</v>
      </c>
      <c r="D2" s="248" t="str">
        <f>'Rate Class Energy Model'!J2</f>
        <v>General Service 50 to 2999 kW</v>
      </c>
      <c r="E2" s="248" t="str">
        <f>'Rate Class Energy Model'!K2</f>
        <v>General Service 3000 to 4999 kW</v>
      </c>
      <c r="F2" s="248" t="str">
        <f>'Rate Class Energy Model'!L2</f>
        <v>Street Lighting</v>
      </c>
      <c r="G2" s="248" t="str">
        <f>'Rate Class Energy Model'!M2</f>
        <v>Sentinel Lighting</v>
      </c>
      <c r="H2" s="248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8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0"/>
        <v>29885</v>
      </c>
      <c r="J18" s="6">
        <f t="shared" si="1"/>
        <v>2909</v>
      </c>
    </row>
    <row r="19" spans="1:16" x14ac:dyDescent="0.2">
      <c r="A19" s="4">
        <v>2015</v>
      </c>
      <c r="B19" s="15">
        <f>ROUND(B18*$B$42,0)</f>
        <v>21124</v>
      </c>
      <c r="C19" s="15">
        <f>ROUND(C18*$C$42,0)</f>
        <v>2668</v>
      </c>
      <c r="D19" s="15">
        <f>ROUND(D18*$D$42,0)</f>
        <v>247</v>
      </c>
      <c r="E19" s="172">
        <f>ROUND(E18,0)</f>
        <v>2</v>
      </c>
      <c r="F19" s="216">
        <f>ROUND(F18,0)</f>
        <v>5419</v>
      </c>
      <c r="G19" s="15">
        <f>ROUND(G18*$G$42,0)</f>
        <v>412</v>
      </c>
      <c r="H19" s="15">
        <v>7</v>
      </c>
      <c r="I19" s="15">
        <f>SUM(B19:H19)</f>
        <v>29879</v>
      </c>
      <c r="J19" s="6">
        <f t="shared" si="1"/>
        <v>2915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0"/>
      <c r="B23" s="189"/>
      <c r="C23" s="189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40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 t="shared" ref="G38:H40" si="4">G16/G15</f>
        <v>0.94303797468354433</v>
      </c>
      <c r="H38" s="18">
        <f t="shared" si="4"/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 t="shared" si="4"/>
        <v>0.95525727069351229</v>
      </c>
      <c r="H39" s="18">
        <f t="shared" si="4"/>
        <v>0.88235294117647056</v>
      </c>
    </row>
    <row r="40" spans="1:10" x14ac:dyDescent="0.2">
      <c r="A40" s="4">
        <v>2014</v>
      </c>
      <c r="B40" s="18">
        <f t="shared" si="3"/>
        <v>1.0004263786242182</v>
      </c>
      <c r="C40" s="18">
        <f t="shared" si="3"/>
        <v>1.0030200075500189</v>
      </c>
      <c r="D40" s="18">
        <f t="shared" si="3"/>
        <v>0.9882352941176471</v>
      </c>
      <c r="E40" s="18">
        <v>1</v>
      </c>
      <c r="F40" s="18">
        <v>1</v>
      </c>
      <c r="G40" s="18">
        <f t="shared" si="4"/>
        <v>1</v>
      </c>
      <c r="H40" s="18">
        <f t="shared" si="4"/>
        <v>0.73333333333333328</v>
      </c>
    </row>
    <row r="41" spans="1:10" x14ac:dyDescent="0.2">
      <c r="B41" s="21"/>
      <c r="C41" s="21"/>
      <c r="D41" s="21"/>
      <c r="E41" s="21"/>
      <c r="F41" s="21"/>
      <c r="G41" s="21"/>
      <c r="H41" s="21"/>
    </row>
    <row r="42" spans="1:10" x14ac:dyDescent="0.2">
      <c r="A42" t="s">
        <v>65</v>
      </c>
      <c r="B42" s="19">
        <f t="shared" ref="B42:H42" si="5">B44</f>
        <v>1.0003317064167836</v>
      </c>
      <c r="C42" s="19">
        <f t="shared" si="5"/>
        <v>1.0043022167072895</v>
      </c>
      <c r="D42" s="19">
        <f t="shared" si="5"/>
        <v>0.97968979056526839</v>
      </c>
      <c r="E42" s="19">
        <f t="shared" si="5"/>
        <v>1</v>
      </c>
      <c r="F42" s="19">
        <f t="shared" si="5"/>
        <v>1</v>
      </c>
      <c r="G42" s="19">
        <f t="shared" si="5"/>
        <v>0.96579105292227829</v>
      </c>
      <c r="H42" s="19">
        <f t="shared" si="5"/>
        <v>0.84860722827658142</v>
      </c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ht="13.5" thickBot="1" x14ac:dyDescent="0.25">
      <c r="A44" s="159" t="s">
        <v>16</v>
      </c>
      <c r="B44" s="209">
        <f>GEOMEAN(B38:B40)</f>
        <v>1.0003317064167836</v>
      </c>
      <c r="C44" s="209">
        <f t="shared" ref="C44:H44" si="6">GEOMEAN(C38:C40)</f>
        <v>1.0043022167072895</v>
      </c>
      <c r="D44" s="209">
        <f t="shared" si="6"/>
        <v>0.97968979056526839</v>
      </c>
      <c r="E44" s="209">
        <f t="shared" si="6"/>
        <v>1</v>
      </c>
      <c r="F44" s="209">
        <f t="shared" si="6"/>
        <v>1</v>
      </c>
      <c r="G44" s="209">
        <f t="shared" si="6"/>
        <v>0.96579105292227829</v>
      </c>
      <c r="H44" s="209">
        <f t="shared" si="6"/>
        <v>0.84860722827658142</v>
      </c>
      <c r="I44" s="209"/>
    </row>
    <row r="45" spans="1:10" ht="13.5" thickBot="1" x14ac:dyDescent="0.25">
      <c r="A45" s="238" t="s">
        <v>171</v>
      </c>
      <c r="B45" s="236"/>
      <c r="C45" s="236"/>
      <c r="D45" s="236"/>
      <c r="E45" s="236"/>
      <c r="F45" s="236"/>
      <c r="G45" s="239"/>
      <c r="H45" s="209"/>
      <c r="I45" s="249"/>
      <c r="J45" s="250"/>
    </row>
    <row r="46" spans="1:10" x14ac:dyDescent="0.2">
      <c r="A46" s="35" t="s">
        <v>78</v>
      </c>
      <c r="B46" s="19">
        <f>AVERAGEA(B38:B39)</f>
        <v>1.0002852553558403</v>
      </c>
      <c r="C46" s="19">
        <f t="shared" ref="C46:H46" si="7">AVERAGEA(C35:C39)</f>
        <v>1.0025185181971838</v>
      </c>
      <c r="D46" s="19">
        <f t="shared" si="7"/>
        <v>0.98667911165308586</v>
      </c>
      <c r="E46" s="19">
        <f t="shared" si="7"/>
        <v>1</v>
      </c>
      <c r="F46" s="19">
        <f t="shared" si="7"/>
        <v>1.0008644444631813</v>
      </c>
      <c r="G46" s="19">
        <f t="shared" si="7"/>
        <v>0.961280058326903</v>
      </c>
      <c r="H46" s="19">
        <f t="shared" si="7"/>
        <v>0.93578554228709021</v>
      </c>
    </row>
    <row r="47" spans="1:10" x14ac:dyDescent="0.2">
      <c r="A47" s="4"/>
      <c r="B47" s="19">
        <f>+B44-B46</f>
        <v>4.6451060943253353E-5</v>
      </c>
      <c r="C47" s="19">
        <f t="shared" ref="C47:H47" si="8">+C44-C46</f>
        <v>1.7836985101056246E-3</v>
      </c>
      <c r="D47" s="19">
        <f t="shared" si="8"/>
        <v>-6.9893210878174683E-3</v>
      </c>
      <c r="E47" s="19">
        <f t="shared" si="8"/>
        <v>0</v>
      </c>
      <c r="F47" s="19">
        <f t="shared" si="8"/>
        <v>-8.6444446318134638E-4</v>
      </c>
      <c r="G47" s="19">
        <f t="shared" si="8"/>
        <v>4.510994595375295E-3</v>
      </c>
      <c r="H47" s="19">
        <f t="shared" si="8"/>
        <v>-8.7178314010508795E-2</v>
      </c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4"/>
      <c r="B49" s="19"/>
      <c r="C49" s="19"/>
      <c r="D49" s="19"/>
      <c r="E49" s="19"/>
      <c r="F49" s="19"/>
      <c r="G49" s="19"/>
      <c r="H49" s="19"/>
    </row>
    <row r="50" spans="1:10" x14ac:dyDescent="0.2">
      <c r="A50" s="166" t="s">
        <v>177</v>
      </c>
      <c r="G50" s="57"/>
      <c r="H50" s="21"/>
      <c r="I50" s="21"/>
      <c r="J50" s="21"/>
    </row>
    <row r="51" spans="1:10" x14ac:dyDescent="0.2">
      <c r="A51" s="214" t="s">
        <v>172</v>
      </c>
      <c r="B51" s="215"/>
      <c r="C51" s="215"/>
      <c r="D51" s="8"/>
      <c r="G51" s="57"/>
      <c r="H51" s="21"/>
      <c r="I51" s="21"/>
      <c r="J51" s="2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/>
      <c r="C53"/>
      <c r="D53"/>
      <c r="E53"/>
      <c r="F53"/>
      <c r="G53"/>
      <c r="H53"/>
      <c r="I53"/>
      <c r="J53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  <row r="63" spans="1:10" x14ac:dyDescent="0.2">
      <c r="B63" s="19"/>
      <c r="C63" s="19"/>
      <c r="D63" s="19"/>
      <c r="E63" s="19"/>
      <c r="F63" s="19"/>
      <c r="G63" s="19"/>
      <c r="H63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zoomScaleNormal="100" workbookViewId="0">
      <pane xSplit="1" ySplit="1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B18" sqref="B18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6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5" t="str">
        <f>'Rate Class Customer Model'!D2</f>
        <v>General Service 50 to 2999 kW</v>
      </c>
      <c r="C1" s="245" t="str">
        <f>'Rate Class Customer Model'!E2</f>
        <v>General Service 3000 to 4999 kW</v>
      </c>
      <c r="D1" s="245" t="str">
        <f>'Rate Class Customer Model'!F2</f>
        <v>Street Lighting</v>
      </c>
      <c r="E1" s="245" t="str">
        <f>'Rate Class Customer Model'!G2</f>
        <v>Sentinel Lighting</v>
      </c>
      <c r="F1" s="246" t="s">
        <v>12</v>
      </c>
      <c r="G1" s="246"/>
      <c r="H1" s="246"/>
      <c r="I1" s="247"/>
      <c r="L1" s="6"/>
    </row>
    <row r="2" spans="1:199" s="46" customFormat="1" x14ac:dyDescent="0.2">
      <c r="A2" s="53">
        <v>1999</v>
      </c>
      <c r="B2" s="210">
        <v>604561.49</v>
      </c>
      <c r="C2" s="210">
        <v>200911.4</v>
      </c>
      <c r="D2" s="210">
        <v>8604</v>
      </c>
      <c r="E2" s="210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0">
        <v>615896.57999999996</v>
      </c>
      <c r="C3" s="210">
        <v>210331.37</v>
      </c>
      <c r="D3" s="210">
        <v>8004.8</v>
      </c>
      <c r="E3" s="210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1">
        <v>618479.91</v>
      </c>
      <c r="C4" s="211">
        <v>182444.07</v>
      </c>
      <c r="D4" s="210">
        <v>8801.16</v>
      </c>
      <c r="E4" s="210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1">
        <v>599393.30000000005</v>
      </c>
      <c r="C5" s="211">
        <v>116994.94</v>
      </c>
      <c r="D5" s="210">
        <v>8805.7199999999993</v>
      </c>
      <c r="E5" s="210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1">
        <v>107185.13</v>
      </c>
      <c r="D6" s="212">
        <v>9600</v>
      </c>
      <c r="E6" s="212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1">
        <v>590317.42000000004</v>
      </c>
      <c r="C7" s="211">
        <v>109315.81</v>
      </c>
      <c r="D7" s="212">
        <v>9618.24</v>
      </c>
      <c r="E7" s="212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1">
        <v>613159.62</v>
      </c>
      <c r="C8" s="211">
        <v>109679.8</v>
      </c>
      <c r="D8" s="212">
        <v>9192</v>
      </c>
      <c r="E8" s="212">
        <v>1703.85</v>
      </c>
      <c r="F8" s="6">
        <f t="shared" si="0"/>
        <v>733735.27</v>
      </c>
      <c r="J8" s="275" t="s">
        <v>203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1">
        <v>602160.47</v>
      </c>
      <c r="C9" s="211">
        <v>96179.77</v>
      </c>
      <c r="D9" s="212">
        <v>9192</v>
      </c>
      <c r="E9" s="212">
        <v>1594.68</v>
      </c>
      <c r="F9" s="6">
        <f t="shared" si="0"/>
        <v>709126.92</v>
      </c>
      <c r="J9" s="8" t="s">
        <v>204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1">
        <v>604779.68000000005</v>
      </c>
      <c r="C10" s="211">
        <v>95579.78</v>
      </c>
      <c r="D10" s="212">
        <v>9238.56</v>
      </c>
      <c r="E10" s="212">
        <v>1542.98</v>
      </c>
      <c r="F10" s="6">
        <f t="shared" si="0"/>
        <v>711141.00000000012</v>
      </c>
      <c r="J10" s="8" t="s">
        <v>205</v>
      </c>
      <c r="K10" s="174" t="s">
        <v>191</v>
      </c>
      <c r="L10" s="174" t="s">
        <v>190</v>
      </c>
      <c r="M10" s="174" t="s">
        <v>190</v>
      </c>
      <c r="N10" s="174" t="s">
        <v>190</v>
      </c>
      <c r="O10" s="174" t="s">
        <v>191</v>
      </c>
      <c r="P10" s="174" t="s">
        <v>190</v>
      </c>
      <c r="Q10" s="174" t="s">
        <v>190</v>
      </c>
      <c r="R10" s="174" t="s">
        <v>190</v>
      </c>
      <c r="S10" s="174" t="s">
        <v>191</v>
      </c>
      <c r="T10" s="174" t="s">
        <v>190</v>
      </c>
      <c r="U10" s="174" t="s">
        <v>191</v>
      </c>
      <c r="V10" s="174" t="s">
        <v>190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0">
        <v>602776.31999999995</v>
      </c>
      <c r="C11" s="210">
        <v>88903.8</v>
      </c>
      <c r="D11" s="210">
        <v>9270.1200000000008</v>
      </c>
      <c r="E11" s="210">
        <v>1530.54</v>
      </c>
      <c r="F11" s="6">
        <f t="shared" si="0"/>
        <v>702480.78</v>
      </c>
      <c r="J11" s="268" t="s">
        <v>206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1">
        <v>584819</v>
      </c>
      <c r="C12" s="211">
        <v>79624</v>
      </c>
      <c r="D12" s="211">
        <v>9285</v>
      </c>
      <c r="E12" s="211">
        <v>1506</v>
      </c>
      <c r="F12" s="6">
        <f t="shared" si="0"/>
        <v>675234</v>
      </c>
      <c r="J12" s="268" t="s">
        <v>207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1">
        <v>588203.21</v>
      </c>
      <c r="C13" s="211">
        <v>78059.55</v>
      </c>
      <c r="D13" s="211">
        <v>9284.76</v>
      </c>
      <c r="E13" s="211">
        <v>1541.04</v>
      </c>
      <c r="F13" s="6">
        <f t="shared" si="0"/>
        <v>677088.56</v>
      </c>
      <c r="J13" s="268" t="s">
        <v>208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1">
        <v>582945.86</v>
      </c>
      <c r="C14" s="211">
        <v>70473.350000000006</v>
      </c>
      <c r="D14" s="211">
        <v>9041.75</v>
      </c>
      <c r="E14" s="211">
        <v>1286.7100000000016</v>
      </c>
      <c r="F14" s="6">
        <f>SUM(B14:E14)</f>
        <v>663747.66999999993</v>
      </c>
      <c r="J14" s="268" t="s">
        <v>209</v>
      </c>
      <c r="L14" s="224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1">
        <v>540969</v>
      </c>
      <c r="C15" s="211">
        <v>68480</v>
      </c>
      <c r="D15" s="211">
        <v>7788</v>
      </c>
      <c r="E15" s="211">
        <f>2345-744</f>
        <v>1601</v>
      </c>
      <c r="F15" s="6">
        <f>SUM(B15:E15)</f>
        <v>618838</v>
      </c>
      <c r="J15" s="268"/>
      <c r="L15" s="224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1">
        <v>535312.51999999979</v>
      </c>
      <c r="C16" s="240">
        <v>69448.33</v>
      </c>
      <c r="D16" s="211">
        <v>6559.4</v>
      </c>
      <c r="E16" s="240">
        <v>1224.070000000002</v>
      </c>
      <c r="F16" s="6">
        <f>SUM(B16:E16)</f>
        <v>612544.31999999972</v>
      </c>
      <c r="L16" s="263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11">
        <v>533378.05000000005</v>
      </c>
      <c r="C17" s="240">
        <v>54354.869999999995</v>
      </c>
      <c r="D17" s="211">
        <v>5677.1200000000008</v>
      </c>
      <c r="E17" s="240">
        <v>1178.6100000000022</v>
      </c>
      <c r="F17" s="6">
        <f>SUM(B17:E17)</f>
        <v>594588.65</v>
      </c>
      <c r="I17" s="173"/>
      <c r="J17" s="274" t="s">
        <v>192</v>
      </c>
      <c r="L17" s="262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1">
        <f>'Rate Class Energy Model'!J74*'Rate Class Load Model'!$B$40+6000</f>
        <v>515630.40702892555</v>
      </c>
      <c r="C18" s="241">
        <f>'Rate Class Energy Model'!K74*'Rate Class Load Model'!$C$40</f>
        <v>33801.425697666316</v>
      </c>
      <c r="D18" s="379">
        <f>470.09*12</f>
        <v>5641.08</v>
      </c>
      <c r="E18" s="241">
        <f>'Rate Class Energy Model'!M74*'Rate Class Load Model'!$E$40</f>
        <v>1193.4344347067597</v>
      </c>
      <c r="F18" s="6">
        <f>SUM(B18:E18)</f>
        <v>556266.34716129862</v>
      </c>
      <c r="I18" s="173"/>
      <c r="J18" s="273" t="s">
        <v>200</v>
      </c>
      <c r="N18" s="273" t="s">
        <v>201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68" t="s">
        <v>193</v>
      </c>
      <c r="K19" s="6">
        <v>60</v>
      </c>
      <c r="L19" s="271"/>
      <c r="N19" s="253" t="s">
        <v>202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68" t="s">
        <v>194</v>
      </c>
      <c r="K20" s="6">
        <f>K19*12</f>
        <v>720</v>
      </c>
      <c r="L20" s="272"/>
      <c r="N20" s="253" t="s">
        <v>194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0"/>
      <c r="C21" s="21"/>
      <c r="D21" s="21"/>
      <c r="E21" s="21"/>
      <c r="F21" s="21"/>
      <c r="G21" s="21"/>
      <c r="H21" s="21"/>
      <c r="I21" s="138"/>
      <c r="J21" s="268" t="s">
        <v>195</v>
      </c>
      <c r="K21" s="6">
        <v>52260.754759586314</v>
      </c>
      <c r="L21" s="262"/>
      <c r="N21" s="253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1"/>
      <c r="D22" s="148"/>
      <c r="E22" s="148"/>
      <c r="F22" s="21"/>
      <c r="G22" s="21"/>
      <c r="H22" s="21"/>
      <c r="I22" s="138"/>
      <c r="J22" s="268" t="s">
        <v>196</v>
      </c>
      <c r="K22" s="6">
        <f>K21-C17</f>
        <v>-2094.115240413681</v>
      </c>
      <c r="L22" s="262"/>
      <c r="N22" s="253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68" t="s">
        <v>197</v>
      </c>
      <c r="K23" s="6">
        <f>-K22-K20</f>
        <v>1374.115240413681</v>
      </c>
      <c r="L23" s="264"/>
      <c r="M23" s="25"/>
      <c r="N23" s="253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68" t="s">
        <v>318</v>
      </c>
      <c r="K24" s="21"/>
      <c r="L24" s="26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68" t="s">
        <v>323</v>
      </c>
      <c r="K25" s="21"/>
      <c r="L25" s="265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69" t="s">
        <v>198</v>
      </c>
      <c r="K26" s="21"/>
      <c r="L26" s="266"/>
      <c r="N26" s="20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7"/>
      <c r="G27" s="187"/>
      <c r="H27" s="187"/>
      <c r="K27" s="21"/>
      <c r="L27" s="264"/>
      <c r="N27" s="208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8"/>
      <c r="G28" s="188"/>
      <c r="H28" s="188"/>
      <c r="K28" s="21"/>
      <c r="L28" s="267"/>
      <c r="M28" s="259"/>
      <c r="N28" s="208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67"/>
      <c r="M29" s="259"/>
      <c r="N29" s="208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3" t="s">
        <v>324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76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210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76" t="s">
        <v>174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76" t="s">
        <v>175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77" t="s">
        <v>211</v>
      </c>
      <c r="X34" s="182">
        <f>C18</f>
        <v>33801.425697666316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8538.5743023336836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5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78" t="s">
        <v>212</v>
      </c>
      <c r="L37" s="279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210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215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x14ac:dyDescent="0.2">
      <c r="A38" s="4">
        <v>2014</v>
      </c>
      <c r="B38" s="22">
        <f>B17/'Rate Class Energy Model'!J22</f>
        <v>2.4552909728602079E-3</v>
      </c>
      <c r="C38" s="22">
        <f>C17/'Rate Class Energy Model'!K22</f>
        <v>2.0186343312287754E-3</v>
      </c>
      <c r="D38" s="22">
        <f>D17/'Rate Class Energy Model'!L22</f>
        <v>2.8013498243573023E-3</v>
      </c>
      <c r="E38" s="22">
        <f>E17/'Rate Class Energy Model'!M22</f>
        <v>2.7797888189757276E-3</v>
      </c>
      <c r="F38" s="21"/>
      <c r="G38" s="21"/>
      <c r="H38" s="21"/>
      <c r="I38" s="21"/>
      <c r="J38" s="21"/>
      <c r="K38" s="278"/>
      <c r="L38" s="279"/>
      <c r="M38" s="4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ht="13.5" thickBot="1" x14ac:dyDescent="0.25">
      <c r="A39" s="4"/>
      <c r="B39" s="213"/>
      <c r="C39" s="213"/>
      <c r="D39" s="213"/>
      <c r="E39" s="213"/>
      <c r="F39" s="21"/>
      <c r="G39" s="21"/>
      <c r="H39" s="21"/>
      <c r="I39" s="21"/>
      <c r="J39" s="21"/>
      <c r="K39" s="280" t="s">
        <v>213</v>
      </c>
      <c r="L39" s="49"/>
      <c r="M39" s="49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s="46" customFormat="1" ht="13.5" thickBot="1" x14ac:dyDescent="0.25">
      <c r="A40" s="237" t="s">
        <v>15</v>
      </c>
      <c r="B40" s="242">
        <f>AVERAGE(B36:B38)</f>
        <v>2.4483211519910775E-3</v>
      </c>
      <c r="C40" s="242">
        <f t="shared" ref="C40:E40" si="1">AVERAGE(C36:C38)</f>
        <v>1.9589566674496593E-3</v>
      </c>
      <c r="D40" s="242">
        <f t="shared" si="1"/>
        <v>2.7952671899620653E-3</v>
      </c>
      <c r="E40" s="242">
        <f t="shared" si="1"/>
        <v>2.9397884298280313E-3</v>
      </c>
      <c r="F40" s="234"/>
      <c r="G40" s="236" t="s">
        <v>328</v>
      </c>
      <c r="H40" s="235"/>
      <c r="I40"/>
      <c r="J40"/>
      <c r="K40" s="254">
        <v>179827</v>
      </c>
      <c r="L40" s="254">
        <v>47202</v>
      </c>
      <c r="M40" s="268" t="s">
        <v>319</v>
      </c>
      <c r="N40" s="283">
        <v>1451479.99</v>
      </c>
      <c r="O40" s="283">
        <v>1367691.99</v>
      </c>
      <c r="P40" s="283">
        <v>1481559.99</v>
      </c>
      <c r="Q40" s="283">
        <v>1661455.99</v>
      </c>
      <c r="R40" s="283">
        <v>1574991.99</v>
      </c>
      <c r="S40" s="283">
        <v>1280143.99</v>
      </c>
      <c r="T40" s="136">
        <v>1341067.99</v>
      </c>
      <c r="U40" s="136">
        <v>1270567.99</v>
      </c>
      <c r="V40" s="136">
        <v>1223571.99</v>
      </c>
      <c r="W40" s="136">
        <v>1414096</v>
      </c>
      <c r="X40" s="136">
        <v>1171363.99</v>
      </c>
      <c r="Y40" s="136">
        <v>1277231.99</v>
      </c>
      <c r="Z40" s="136">
        <f>SUM(N40:Y40)</f>
        <v>16515223.890000001</v>
      </c>
      <c r="AA40" s="136">
        <v>17887517.895</v>
      </c>
      <c r="AB40" s="136">
        <f>+Z40-AA40</f>
        <v>-1372294.004999999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x14ac:dyDescent="0.2">
      <c r="A41" t="s">
        <v>151</v>
      </c>
      <c r="B41" s="165">
        <v>2.8826296316108832E-3</v>
      </c>
      <c r="C41" s="165">
        <v>1.910723582011861E-3</v>
      </c>
      <c r="D41" s="165">
        <v>2.8139160206084091E-3</v>
      </c>
      <c r="E41" s="165">
        <v>2.731622029704514E-3</v>
      </c>
      <c r="F41" s="21"/>
      <c r="G41" s="21"/>
      <c r="H41" s="21"/>
      <c r="I41" s="21"/>
      <c r="J41" s="21"/>
      <c r="K41" s="254">
        <v>124685</v>
      </c>
      <c r="L41" s="254">
        <v>46634</v>
      </c>
      <c r="M41" s="268" t="s">
        <v>325</v>
      </c>
      <c r="N41" s="136">
        <v>1671171.99</v>
      </c>
      <c r="O41" s="136">
        <v>1634435.99</v>
      </c>
      <c r="P41" s="136">
        <v>1725971.99</v>
      </c>
      <c r="Q41" s="136">
        <v>1666099.99</v>
      </c>
      <c r="R41" s="136">
        <v>1668735.99</v>
      </c>
      <c r="S41" s="136">
        <v>1611367.99</v>
      </c>
      <c r="T41" s="136">
        <v>1681872</v>
      </c>
      <c r="U41" s="136">
        <v>1358971.99</v>
      </c>
      <c r="V41" s="136">
        <v>1558908</v>
      </c>
      <c r="W41" s="136">
        <v>1628607.99</v>
      </c>
      <c r="X41" s="136">
        <v>1669551.99</v>
      </c>
      <c r="Y41" s="136">
        <v>1384115.99</v>
      </c>
      <c r="Z41" s="136">
        <f>SUM(N41:Y41)</f>
        <v>19259811.899999999</v>
      </c>
      <c r="AA41" s="136">
        <v>17887517.895</v>
      </c>
      <c r="AB41" s="136">
        <f>+Z41-AA41</f>
        <v>1372294.004999999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ht="13.5" thickBot="1" x14ac:dyDescent="0.25">
      <c r="B42" s="165">
        <f>+B40-B41</f>
        <v>-4.3430847961980568E-4</v>
      </c>
      <c r="C42" s="165">
        <f>+C40-C41</f>
        <v>4.8233085437798286E-5</v>
      </c>
      <c r="D42" s="165">
        <f>+D40-D41</f>
        <v>-1.8648830646343824E-5</v>
      </c>
      <c r="E42" s="165">
        <f>+E40-E41</f>
        <v>2.081664001235173E-4</v>
      </c>
      <c r="I42"/>
      <c r="K42" s="254"/>
      <c r="L42" s="254"/>
      <c r="M42" s="268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282">
        <f>SUM(Z40:Z41)</f>
        <v>35775035.789999999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B43" s="49"/>
      <c r="K43" s="280" t="s">
        <v>214</v>
      </c>
      <c r="L43" s="49"/>
      <c r="M43" s="49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166" t="s">
        <v>177</v>
      </c>
      <c r="K44" s="254">
        <v>179827</v>
      </c>
      <c r="L44" s="254">
        <v>47202</v>
      </c>
      <c r="M44" s="268" t="s">
        <v>319</v>
      </c>
      <c r="N44" s="136">
        <v>2410.11</v>
      </c>
      <c r="O44" s="136">
        <v>2385.19</v>
      </c>
      <c r="P44" s="136">
        <v>2363.83</v>
      </c>
      <c r="Q44" s="136">
        <v>3147.03</v>
      </c>
      <c r="R44" s="136">
        <v>2630.83</v>
      </c>
      <c r="S44" s="136">
        <v>2584.56</v>
      </c>
      <c r="T44" s="136">
        <v>2491.9899999999998</v>
      </c>
      <c r="U44" s="136">
        <v>2944.11</v>
      </c>
      <c r="V44" s="136">
        <v>2670</v>
      </c>
      <c r="W44" s="136">
        <v>2897.83</v>
      </c>
      <c r="X44" s="136">
        <v>2264.16</v>
      </c>
      <c r="Y44" s="136">
        <v>2317.56</v>
      </c>
      <c r="Z44" s="136">
        <f>SUM(N44:Y44)</f>
        <v>31107.200000000004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x14ac:dyDescent="0.2">
      <c r="A45" s="214" t="s">
        <v>172</v>
      </c>
      <c r="B45" s="215"/>
      <c r="C45" s="215"/>
      <c r="D45" s="215"/>
      <c r="K45" s="254">
        <v>124685</v>
      </c>
      <c r="L45" s="254">
        <v>46634</v>
      </c>
      <c r="M45" s="268" t="s">
        <v>325</v>
      </c>
      <c r="N45" s="136">
        <v>3196.87</v>
      </c>
      <c r="O45" s="136">
        <v>3289.44</v>
      </c>
      <c r="P45" s="136">
        <v>3303.67</v>
      </c>
      <c r="Q45" s="136">
        <v>3278.76</v>
      </c>
      <c r="R45" s="136">
        <v>3275.19</v>
      </c>
      <c r="S45" s="136">
        <v>3218.23</v>
      </c>
      <c r="T45" s="136">
        <v>3243.16</v>
      </c>
      <c r="U45" s="136">
        <v>3136.35</v>
      </c>
      <c r="V45" s="136">
        <v>3011.76</v>
      </c>
      <c r="W45" s="136">
        <v>3015.31</v>
      </c>
      <c r="X45" s="136">
        <v>3332.16</v>
      </c>
      <c r="Y45" s="136">
        <v>3040.23</v>
      </c>
      <c r="Z45" s="136">
        <f>SUM(N45:Y45)</f>
        <v>38341.130000000005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ht="13.5" thickBot="1" x14ac:dyDescent="0.25">
      <c r="B46"/>
      <c r="C46" s="20"/>
      <c r="D46" s="20"/>
      <c r="E46" s="20"/>
      <c r="N46" s="281">
        <f>SUM(N44:N45)</f>
        <v>5606.98</v>
      </c>
      <c r="O46" s="281">
        <f t="shared" ref="O46:Y46" si="2">SUM(O44:O45)</f>
        <v>5674.63</v>
      </c>
      <c r="P46" s="281">
        <f t="shared" si="2"/>
        <v>5667.5</v>
      </c>
      <c r="Q46" s="281">
        <f t="shared" si="2"/>
        <v>6425.7900000000009</v>
      </c>
      <c r="R46" s="281">
        <f t="shared" si="2"/>
        <v>5906.02</v>
      </c>
      <c r="S46" s="281">
        <f t="shared" si="2"/>
        <v>5802.79</v>
      </c>
      <c r="T46" s="281">
        <f t="shared" si="2"/>
        <v>5735.15</v>
      </c>
      <c r="U46" s="281">
        <f t="shared" si="2"/>
        <v>6080.46</v>
      </c>
      <c r="V46" s="281">
        <f t="shared" si="2"/>
        <v>5681.76</v>
      </c>
      <c r="W46" s="281">
        <f t="shared" si="2"/>
        <v>5913.1399999999994</v>
      </c>
      <c r="X46" s="281">
        <f t="shared" si="2"/>
        <v>5596.32</v>
      </c>
      <c r="Y46" s="281">
        <f t="shared" si="2"/>
        <v>5357.79</v>
      </c>
      <c r="Z46" s="282">
        <f>SUM(Z44:Z45)</f>
        <v>69448.330000000016</v>
      </c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173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B48" s="20"/>
      <c r="C48" s="20"/>
      <c r="D48" s="20"/>
      <c r="E48" s="20"/>
      <c r="K48" s="278" t="s">
        <v>320</v>
      </c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68" t="s">
        <v>216</v>
      </c>
      <c r="L49" s="49"/>
      <c r="M49" s="49"/>
      <c r="O49" s="136">
        <f>'Rate Class Energy Model'!K46</f>
        <v>13463277.910000002</v>
      </c>
      <c r="P49" s="136"/>
      <c r="Q49" s="289" t="s">
        <v>222</v>
      </c>
      <c r="R49" s="136">
        <f>O55</f>
        <v>21036371.734375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54" t="s">
        <v>217</v>
      </c>
      <c r="L50" s="254"/>
      <c r="M50" s="268"/>
      <c r="O50" s="136">
        <f>O49/12</f>
        <v>1121939.8258333334</v>
      </c>
      <c r="P50" s="136"/>
      <c r="Q50" s="289" t="s">
        <v>223</v>
      </c>
      <c r="R50" s="290">
        <f>C40</f>
        <v>1.9589566674496593E-3</v>
      </c>
      <c r="S50" s="136"/>
      <c r="T50" s="136"/>
      <c r="U50" s="136"/>
      <c r="V50" s="136"/>
      <c r="W50" s="136"/>
      <c r="X50" s="136"/>
      <c r="Y50" s="136"/>
      <c r="Z50" s="136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68" t="s">
        <v>218</v>
      </c>
      <c r="O51" s="136">
        <f>O50*6</f>
        <v>6731638.9550000001</v>
      </c>
      <c r="Q51" s="292" t="s">
        <v>224</v>
      </c>
      <c r="R51" s="293">
        <f>R49*R50</f>
        <v>41209.34066800346</v>
      </c>
      <c r="S51" s="208">
        <f>R51-Z45</f>
        <v>2868.2106680034558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68" t="s">
        <v>219</v>
      </c>
      <c r="O52" s="136">
        <f>(O50*0.25)*3</f>
        <v>841454.86937500001</v>
      </c>
      <c r="Q52" s="291" t="s">
        <v>321</v>
      </c>
      <c r="R52" s="208">
        <f>Z44</f>
        <v>31107.200000000004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68" t="s">
        <v>220</v>
      </c>
      <c r="O53" s="281">
        <f>O51+O52</f>
        <v>7573093.8243749999</v>
      </c>
      <c r="Q53" s="291" t="s">
        <v>225</v>
      </c>
      <c r="R53" s="208">
        <f>R52/12</f>
        <v>2592.2666666666669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x14ac:dyDescent="0.2">
      <c r="K54" s="268" t="s">
        <v>326</v>
      </c>
      <c r="O54" s="208">
        <f>O49</f>
        <v>13463277.910000002</v>
      </c>
      <c r="Q54" s="291" t="s">
        <v>226</v>
      </c>
      <c r="R54" s="208">
        <f>R53*6</f>
        <v>15553.600000000002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ht="13.5" thickBot="1" x14ac:dyDescent="0.25">
      <c r="K55" s="285" t="s">
        <v>221</v>
      </c>
      <c r="L55" s="286"/>
      <c r="M55" s="287"/>
      <c r="N55" s="288"/>
      <c r="O55" s="284">
        <f>O53+O54</f>
        <v>21036371.734375</v>
      </c>
      <c r="Q55" s="291" t="s">
        <v>227</v>
      </c>
      <c r="R55" s="208">
        <f>(R53*0.25)*3</f>
        <v>1944.2000000000003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1" t="s">
        <v>322</v>
      </c>
      <c r="R56" s="294">
        <f>R54+R55</f>
        <v>17497.800000000003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1" t="s">
        <v>327</v>
      </c>
      <c r="R57" s="208">
        <f>O54*R50</f>
        <v>26373.978027522218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1" t="s">
        <v>18</v>
      </c>
      <c r="R58" s="208">
        <f>+R56+R57</f>
        <v>43871.778027522218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291" t="s">
        <v>228</v>
      </c>
      <c r="R59" s="208">
        <f>+R58-C17</f>
        <v>-10483.091972477778</v>
      </c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299" t="s">
        <v>233</v>
      </c>
      <c r="R60" s="208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301" t="s">
        <v>175</v>
      </c>
      <c r="R61" s="297" t="s">
        <v>325</v>
      </c>
      <c r="S61" s="270" t="s">
        <v>319</v>
      </c>
      <c r="T61" s="270" t="s">
        <v>12</v>
      </c>
      <c r="U61" s="301" t="s">
        <v>175</v>
      </c>
      <c r="V61" s="297" t="s">
        <v>325</v>
      </c>
      <c r="W61" s="270" t="s">
        <v>319</v>
      </c>
      <c r="X61" s="270" t="s">
        <v>12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Q62" s="291" t="s">
        <v>234</v>
      </c>
      <c r="R62" s="208">
        <f>2772+2844+2908</f>
        <v>8524</v>
      </c>
      <c r="S62" s="208">
        <f>2764+2800+2820</f>
        <v>8384</v>
      </c>
      <c r="T62" s="208">
        <f>SUM(R62:S62)</f>
        <v>16908</v>
      </c>
      <c r="U62" s="291" t="s">
        <v>234</v>
      </c>
      <c r="V62" s="208">
        <f>1673276+1515192+1720168</f>
        <v>4908636</v>
      </c>
      <c r="W62" s="208">
        <f>1371240+1335588+1502184</f>
        <v>4209012</v>
      </c>
      <c r="X62" s="208">
        <f>SUM(V62:W62)</f>
        <v>9117648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L63" s="321">
        <f>9/12</f>
        <v>0.75</v>
      </c>
      <c r="M63" s="6">
        <f>L63*O50*3</f>
        <v>2524364.6081250003</v>
      </c>
      <c r="Q63" s="291" t="s">
        <v>235</v>
      </c>
      <c r="R63" s="208">
        <f>R57-R62</f>
        <v>17849.978027522218</v>
      </c>
      <c r="S63" s="208">
        <f>R56-S62</f>
        <v>9113.8000000000029</v>
      </c>
      <c r="T63" s="208">
        <f>SUM(R63:S63)</f>
        <v>26963.778027522221</v>
      </c>
      <c r="U63" s="291" t="s">
        <v>235</v>
      </c>
      <c r="V63" s="208">
        <f>O54-V62</f>
        <v>8554641.910000002</v>
      </c>
      <c r="W63" s="208">
        <f>O52+(O51-W62)</f>
        <v>3364081.8243749999</v>
      </c>
      <c r="X63" s="208">
        <f>SUM(V63:W63)</f>
        <v>11918723.734375002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O50*3</f>
        <v>3365819.4775</v>
      </c>
      <c r="Q64" s="4"/>
      <c r="R64" s="294">
        <f>SUM(R62:R63)</f>
        <v>26373.978027522218</v>
      </c>
      <c r="S64" s="294">
        <f>SUM(S62:S63)</f>
        <v>17497.800000000003</v>
      </c>
      <c r="T64" s="294">
        <f>SUM(T62:T63)</f>
        <v>43871.778027522218</v>
      </c>
      <c r="U64" s="4"/>
      <c r="V64" s="294">
        <f>SUM(V62:V63)</f>
        <v>13463277.910000002</v>
      </c>
      <c r="W64" s="294">
        <f>SUM(W62:W63)</f>
        <v>7573093.8243749999</v>
      </c>
      <c r="X64" s="294">
        <f>SUM(X62:X63)</f>
        <v>21036371.734375</v>
      </c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M65" s="6">
        <f>SUM(M63:M64)</f>
        <v>5890184.0856250003</v>
      </c>
      <c r="Q65" s="4"/>
      <c r="R65" s="298">
        <f>R63/9</f>
        <v>1983.3308919469132</v>
      </c>
      <c r="S65" s="298">
        <f>S63/9</f>
        <v>1012.6444444444447</v>
      </c>
      <c r="U65" s="301" t="s">
        <v>217</v>
      </c>
      <c r="V65" s="298">
        <f>V63/9</f>
        <v>950515.76777777798</v>
      </c>
      <c r="W65" s="208"/>
      <c r="Y65" s="207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Q66" s="4"/>
      <c r="R66" s="298">
        <f>+R65+S65</f>
        <v>2995.9753363913578</v>
      </c>
      <c r="U66" s="301" t="s">
        <v>237</v>
      </c>
      <c r="V66" s="60">
        <f>V65</f>
        <v>950515.76777777798</v>
      </c>
      <c r="W66" s="60">
        <f>(O51-W62)/3</f>
        <v>840875.65166666673</v>
      </c>
      <c r="X66" s="60">
        <f>+V66+W66</f>
        <v>1791391.4194444446</v>
      </c>
      <c r="Y66" s="60">
        <f>+X66*3</f>
        <v>5374174.2583333338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1" t="s">
        <v>227</v>
      </c>
      <c r="V67" s="60">
        <f>V65</f>
        <v>950515.76777777798</v>
      </c>
      <c r="W67" s="60">
        <f>O52/3</f>
        <v>280484.95645833336</v>
      </c>
      <c r="X67" s="60">
        <f>+V67+W67</f>
        <v>1231000.7242361114</v>
      </c>
      <c r="Y67" s="60">
        <f>+X67*3</f>
        <v>3693002.1727083344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B68" s="10"/>
      <c r="C68" s="10"/>
      <c r="D68" s="10"/>
      <c r="E68" s="10"/>
      <c r="U68" s="301" t="s">
        <v>236</v>
      </c>
      <c r="V68" s="60">
        <f>V65</f>
        <v>950515.76777777798</v>
      </c>
      <c r="W68" s="60">
        <v>0</v>
      </c>
      <c r="X68" s="60">
        <f>+V68+W68</f>
        <v>950515.76777777798</v>
      </c>
      <c r="Y68" s="60">
        <f>+X68*3</f>
        <v>2851547.3033333337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60">
        <f>+X62</f>
        <v>9117648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V70" s="60"/>
      <c r="W70" s="60"/>
      <c r="X70" s="60"/>
      <c r="Y70" s="257">
        <f>SUM(Y66:Y69)</f>
        <v>21036371.734375004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Y71" s="298">
        <f>+X64-Y70</f>
        <v>0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0" t="s">
        <v>238</v>
      </c>
      <c r="W72" s="207">
        <v>2961716.918551547</v>
      </c>
      <c r="X72" s="208">
        <f>$X$66</f>
        <v>1791391.4194444446</v>
      </c>
      <c r="Y72" s="208">
        <f>+W72-X72</f>
        <v>1170325.4991071024</v>
      </c>
      <c r="Z72" s="60">
        <f>Y72*1.0375</f>
        <v>1214212.7053236188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0" t="s">
        <v>129</v>
      </c>
      <c r="W73" s="207">
        <v>2960402.5641959351</v>
      </c>
      <c r="X73" s="208">
        <f>$X$66</f>
        <v>1791391.4194444446</v>
      </c>
      <c r="Y73" s="208">
        <f t="shared" ref="Y73:Y80" si="3">+W73-X73</f>
        <v>1169011.1447514906</v>
      </c>
      <c r="Z73" s="60">
        <f t="shared" ref="Z73:Z80" si="4">Y73*1.0375</f>
        <v>1212849.0626796714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0" t="s">
        <v>239</v>
      </c>
      <c r="W74" s="207">
        <v>3058859.6427856507</v>
      </c>
      <c r="X74" s="208">
        <f>$X$66</f>
        <v>1791391.4194444446</v>
      </c>
      <c r="Y74" s="208">
        <f t="shared" si="3"/>
        <v>1267468.2233412061</v>
      </c>
      <c r="Z74" s="60">
        <f t="shared" si="4"/>
        <v>1314998.2817165013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0" t="s">
        <v>240</v>
      </c>
      <c r="W75" s="207">
        <v>3108126.496380297</v>
      </c>
      <c r="X75" s="208">
        <f>$X$67</f>
        <v>1231000.7242361114</v>
      </c>
      <c r="Y75" s="208">
        <f t="shared" si="3"/>
        <v>1877125.7721441856</v>
      </c>
      <c r="Z75" s="60">
        <f t="shared" si="4"/>
        <v>1947517.9885995928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0" t="s">
        <v>241</v>
      </c>
      <c r="W76" s="207">
        <v>2599057.3804733292</v>
      </c>
      <c r="X76" s="208">
        <f t="shared" ref="X76:X77" si="5">$X$67</f>
        <v>1231000.7242361114</v>
      </c>
      <c r="Y76" s="208">
        <f t="shared" si="3"/>
        <v>1368056.6562372178</v>
      </c>
      <c r="Z76" s="60">
        <f t="shared" si="4"/>
        <v>1419358.7808461136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0" t="s">
        <v>242</v>
      </c>
      <c r="W77" s="207">
        <v>2878660.2916818298</v>
      </c>
      <c r="X77" s="208">
        <f t="shared" si="5"/>
        <v>1231000.7242361114</v>
      </c>
      <c r="Y77" s="208">
        <f t="shared" si="3"/>
        <v>1647659.5674457185</v>
      </c>
      <c r="Z77" s="60">
        <f t="shared" si="4"/>
        <v>1709446.801224933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0" t="s">
        <v>243</v>
      </c>
      <c r="W78" s="207">
        <v>2573027.2228573672</v>
      </c>
      <c r="X78" s="208">
        <f>$X$68</f>
        <v>950515.76777777798</v>
      </c>
      <c r="Y78" s="208">
        <f t="shared" si="3"/>
        <v>1622511.4550795893</v>
      </c>
      <c r="Z78" s="60">
        <f t="shared" si="4"/>
        <v>1683355.6346450739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0" t="s">
        <v>244</v>
      </c>
      <c r="W79" s="207">
        <v>2557875.8643797985</v>
      </c>
      <c r="X79" s="208">
        <f t="shared" ref="X79:X80" si="6">$X$68</f>
        <v>950515.76777777798</v>
      </c>
      <c r="Y79" s="208">
        <f t="shared" si="3"/>
        <v>1607360.0966020206</v>
      </c>
      <c r="Z79" s="60">
        <f t="shared" si="4"/>
        <v>1667636.1002245964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V80" s="300" t="s">
        <v>245</v>
      </c>
      <c r="W80" s="207">
        <v>2416060.7358232616</v>
      </c>
      <c r="X80" s="208">
        <f t="shared" si="6"/>
        <v>950515.76777777798</v>
      </c>
      <c r="Y80" s="208">
        <f t="shared" si="3"/>
        <v>1465544.9680454836</v>
      </c>
      <c r="Z80" s="60">
        <f t="shared" si="4"/>
        <v>1520502.9043471892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W81" s="251">
        <f>SUM(W72:W80)</f>
        <v>25113787.117129017</v>
      </c>
      <c r="X81" s="251">
        <f>SUM(X72:X80)</f>
        <v>11918723.734375002</v>
      </c>
      <c r="Y81" s="251">
        <f>SUM(Y72:Y80)</f>
        <v>13195063.382754015</v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0" t="s">
        <v>246</v>
      </c>
      <c r="Y83" s="207">
        <f>'Rate Class Energy Model'!K21</f>
        <v>35775035.789999999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0" t="s">
        <v>247</v>
      </c>
      <c r="Y84" s="207">
        <f>O55</f>
        <v>21036371.734375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0" t="s">
        <v>248</v>
      </c>
      <c r="Y85" s="207">
        <f>Y84-Y83</f>
        <v>-14738664.055624999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V86" s="300" t="s">
        <v>249</v>
      </c>
      <c r="Y86" s="208">
        <f>+Y81+Y85</f>
        <v>-1543600.6728709843</v>
      </c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  <row r="251" spans="46:199" x14ac:dyDescent="0.2"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workbookViewId="0">
      <pane xSplit="1" ySplit="2" topLeftCell="L3" activePane="bottomRight" state="frozen"/>
      <selection activeCell="AB30" sqref="AB30"/>
      <selection pane="topRight" activeCell="AB30" sqref="AB30"/>
      <selection pane="bottomLeft" activeCell="AB30" sqref="AB30"/>
      <selection pane="bottomRight" activeCell="AA18" sqref="AA18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9.28515625" customWidth="1"/>
    <col min="28" max="28" width="11.5703125" bestFit="1" customWidth="1"/>
    <col min="29" max="29" width="10.5703125" bestFit="1" customWidth="1"/>
  </cols>
  <sheetData>
    <row r="2" spans="1:29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 t="s">
        <v>138</v>
      </c>
      <c r="AC2" s="13" t="s">
        <v>139</v>
      </c>
    </row>
    <row r="3" spans="1:29" x14ac:dyDescent="0.2">
      <c r="A3" s="13" t="s">
        <v>125</v>
      </c>
      <c r="B3" s="207">
        <v>867.4</v>
      </c>
      <c r="C3" s="207">
        <v>775.7</v>
      </c>
      <c r="D3" s="207">
        <v>952.9</v>
      </c>
      <c r="E3" s="207">
        <v>953.6</v>
      </c>
      <c r="F3" s="207">
        <v>878.54</v>
      </c>
      <c r="G3" s="207">
        <v>1199.5</v>
      </c>
      <c r="H3" s="207">
        <v>831.4</v>
      </c>
      <c r="I3" s="207">
        <v>997.3</v>
      </c>
      <c r="J3" s="207">
        <v>1032.7</v>
      </c>
      <c r="K3" s="207">
        <v>853.1</v>
      </c>
      <c r="L3" s="207">
        <v>943.6</v>
      </c>
      <c r="M3" s="207">
        <v>972</v>
      </c>
      <c r="N3" s="207">
        <v>883.3</v>
      </c>
      <c r="O3" s="207">
        <v>799.5</v>
      </c>
      <c r="P3" s="207">
        <v>1040.4000000000001</v>
      </c>
      <c r="Q3" s="207">
        <v>1121.5999999999999</v>
      </c>
      <c r="R3" s="207">
        <v>1002.3</v>
      </c>
      <c r="S3" s="207">
        <v>774.4</v>
      </c>
      <c r="T3" s="207">
        <v>883.4</v>
      </c>
      <c r="U3" s="207">
        <v>803.7</v>
      </c>
      <c r="V3" s="207">
        <v>1046.0999999999999</v>
      </c>
      <c r="W3" s="207">
        <v>887.4</v>
      </c>
      <c r="X3" s="207">
        <v>984.2</v>
      </c>
      <c r="Y3" s="207">
        <v>855.4</v>
      </c>
      <c r="Z3" s="207">
        <v>892.80000000000007</v>
      </c>
      <c r="AA3" s="207">
        <f>'Purchased Power Model'!C183</f>
        <v>1024.8</v>
      </c>
      <c r="AB3" s="207">
        <f t="shared" ref="AB3:AB5" si="0">SUM(R3:AA3)/10</f>
        <v>915.44999999999982</v>
      </c>
      <c r="AC3" s="207">
        <f>TREND(H3:AA3,$H$2:$AA$2,2015)</f>
        <v>930.96947368421047</v>
      </c>
    </row>
    <row r="4" spans="1:29" x14ac:dyDescent="0.2">
      <c r="A4" s="13" t="s">
        <v>126</v>
      </c>
      <c r="B4" s="207">
        <v>873</v>
      </c>
      <c r="C4" s="207">
        <v>792</v>
      </c>
      <c r="D4" s="207">
        <v>732.2</v>
      </c>
      <c r="E4" s="207">
        <v>861</v>
      </c>
      <c r="F4" s="207">
        <v>909.34</v>
      </c>
      <c r="G4" s="207">
        <v>891.8</v>
      </c>
      <c r="H4" s="207">
        <v>880.6</v>
      </c>
      <c r="I4" s="207">
        <v>874.1</v>
      </c>
      <c r="J4" s="207">
        <v>823.5</v>
      </c>
      <c r="K4" s="207">
        <v>618.29999999999995</v>
      </c>
      <c r="L4" s="207">
        <v>690.8</v>
      </c>
      <c r="M4" s="207">
        <v>758.8</v>
      </c>
      <c r="N4" s="207">
        <v>813.7</v>
      </c>
      <c r="O4" s="207">
        <v>770.7</v>
      </c>
      <c r="P4" s="207">
        <v>908.9</v>
      </c>
      <c r="Q4" s="207">
        <v>780.5</v>
      </c>
      <c r="R4" s="207">
        <v>736.3</v>
      </c>
      <c r="S4" s="207">
        <v>819.9</v>
      </c>
      <c r="T4" s="207">
        <v>909.1</v>
      </c>
      <c r="U4" s="207">
        <v>840.1</v>
      </c>
      <c r="V4" s="207">
        <v>773.1</v>
      </c>
      <c r="W4" s="207">
        <v>753</v>
      </c>
      <c r="X4" s="207">
        <v>798.2</v>
      </c>
      <c r="Y4" s="207">
        <v>717.6</v>
      </c>
      <c r="Z4" s="207">
        <v>801.40000000000009</v>
      </c>
      <c r="AA4" s="207">
        <f>'Purchased Power Model'!C184</f>
        <v>883.40000000000009</v>
      </c>
      <c r="AB4" s="207">
        <f t="shared" si="0"/>
        <v>803.21</v>
      </c>
      <c r="AC4" s="207">
        <f t="shared" ref="AC4:AC14" si="1">TREND(H4:AA4,$H$2:$AA$2,2015)</f>
        <v>805.06842105263161</v>
      </c>
    </row>
    <row r="5" spans="1:29" x14ac:dyDescent="0.2">
      <c r="A5" s="13" t="s">
        <v>127</v>
      </c>
      <c r="B5" s="207">
        <v>788.6</v>
      </c>
      <c r="C5" s="207">
        <v>659</v>
      </c>
      <c r="D5" s="207">
        <v>662.5</v>
      </c>
      <c r="E5" s="207">
        <v>815.9</v>
      </c>
      <c r="F5" s="207">
        <v>640.66</v>
      </c>
      <c r="G5" s="207">
        <v>688.1</v>
      </c>
      <c r="H5" s="207">
        <v>631.1</v>
      </c>
      <c r="I5" s="207">
        <v>774.6</v>
      </c>
      <c r="J5" s="207">
        <v>779.3</v>
      </c>
      <c r="K5" s="207">
        <v>656.9</v>
      </c>
      <c r="L5" s="207">
        <v>672.5</v>
      </c>
      <c r="M5" s="207">
        <v>570.79999999999995</v>
      </c>
      <c r="N5" s="207">
        <v>709.6</v>
      </c>
      <c r="O5" s="207">
        <v>756.4</v>
      </c>
      <c r="P5" s="207">
        <v>732.2</v>
      </c>
      <c r="Q5" s="207">
        <v>647.1</v>
      </c>
      <c r="R5" s="207">
        <v>739.1</v>
      </c>
      <c r="S5" s="207">
        <v>666.4</v>
      </c>
      <c r="T5" s="207">
        <v>691</v>
      </c>
      <c r="U5" s="207">
        <v>762.1</v>
      </c>
      <c r="V5" s="207">
        <v>671.1</v>
      </c>
      <c r="W5" s="207">
        <v>501.3</v>
      </c>
      <c r="X5" s="207">
        <v>742.1</v>
      </c>
      <c r="Y5" s="207">
        <v>510.4</v>
      </c>
      <c r="Z5" s="207">
        <v>685.19999999999982</v>
      </c>
      <c r="AA5" s="207">
        <f>'Purchased Power Model'!C185</f>
        <v>879.69999999999982</v>
      </c>
      <c r="AB5" s="207">
        <f t="shared" si="0"/>
        <v>684.83999999999992</v>
      </c>
      <c r="AC5" s="207">
        <f t="shared" si="1"/>
        <v>682.88421052631588</v>
      </c>
    </row>
    <row r="6" spans="1:29" x14ac:dyDescent="0.2">
      <c r="A6" s="13" t="s">
        <v>128</v>
      </c>
      <c r="B6" s="207">
        <v>507</v>
      </c>
      <c r="C6" s="207">
        <v>406</v>
      </c>
      <c r="D6" s="207">
        <v>362.4</v>
      </c>
      <c r="E6" s="207">
        <v>499.6</v>
      </c>
      <c r="F6" s="207">
        <v>408.28</v>
      </c>
      <c r="G6" s="207">
        <v>456.7</v>
      </c>
      <c r="H6" s="207">
        <v>524.29999999999995</v>
      </c>
      <c r="I6" s="207">
        <v>516.29999999999995</v>
      </c>
      <c r="J6" s="207">
        <v>455.4</v>
      </c>
      <c r="K6" s="207">
        <v>351.1</v>
      </c>
      <c r="L6" s="207">
        <v>383.7</v>
      </c>
      <c r="M6" s="207">
        <v>435.7</v>
      </c>
      <c r="N6" s="207">
        <v>387.2</v>
      </c>
      <c r="O6" s="207">
        <v>443.6</v>
      </c>
      <c r="P6" s="207">
        <v>513.9</v>
      </c>
      <c r="Q6" s="207">
        <v>454.7</v>
      </c>
      <c r="R6" s="207">
        <v>378.9</v>
      </c>
      <c r="S6" s="207">
        <v>368.2</v>
      </c>
      <c r="T6" s="207">
        <v>426.6</v>
      </c>
      <c r="U6" s="207">
        <v>345.5</v>
      </c>
      <c r="V6" s="207">
        <v>421.4</v>
      </c>
      <c r="W6" s="207">
        <v>314.5</v>
      </c>
      <c r="X6" s="207">
        <v>443.5</v>
      </c>
      <c r="Y6" s="207">
        <v>425.7</v>
      </c>
      <c r="Z6" s="207">
        <v>496.25000000000011</v>
      </c>
      <c r="AA6" s="207">
        <f>'Purchased Power Model'!C186</f>
        <v>482.99999999999994</v>
      </c>
      <c r="AB6" s="207">
        <f>SUM(R6:AA6)/10</f>
        <v>410.3549999999999</v>
      </c>
      <c r="AC6" s="207">
        <f t="shared" si="1"/>
        <v>411.50236842105232</v>
      </c>
    </row>
    <row r="7" spans="1:29" x14ac:dyDescent="0.2">
      <c r="A7" s="13" t="s">
        <v>129</v>
      </c>
      <c r="B7" s="207">
        <v>200.6</v>
      </c>
      <c r="C7" s="207">
        <v>255</v>
      </c>
      <c r="D7" s="207">
        <v>159</v>
      </c>
      <c r="E7" s="207">
        <v>233.7</v>
      </c>
      <c r="F7" s="207">
        <v>214.58</v>
      </c>
      <c r="G7" s="207">
        <v>240.8</v>
      </c>
      <c r="H7" s="207">
        <v>215</v>
      </c>
      <c r="I7" s="207">
        <v>268.8</v>
      </c>
      <c r="J7" s="207">
        <v>333.4</v>
      </c>
      <c r="K7" s="207">
        <v>83.2</v>
      </c>
      <c r="L7" s="207">
        <v>135.9</v>
      </c>
      <c r="M7" s="207">
        <v>201.1</v>
      </c>
      <c r="N7" s="207">
        <v>155.5</v>
      </c>
      <c r="O7" s="207">
        <v>304</v>
      </c>
      <c r="P7" s="207">
        <v>208.3</v>
      </c>
      <c r="Q7" s="207">
        <v>257.5</v>
      </c>
      <c r="R7" s="207">
        <v>214.9</v>
      </c>
      <c r="S7" s="207">
        <v>162.80000000000001</v>
      </c>
      <c r="T7" s="207">
        <v>189</v>
      </c>
      <c r="U7" s="207">
        <v>261</v>
      </c>
      <c r="V7" s="207">
        <v>257.10000000000002</v>
      </c>
      <c r="W7" s="207">
        <v>147.69999999999999</v>
      </c>
      <c r="X7" s="207">
        <v>175.1</v>
      </c>
      <c r="Y7" s="207">
        <v>138.19999999999999</v>
      </c>
      <c r="Z7" s="207">
        <v>198.95</v>
      </c>
      <c r="AA7" s="207">
        <f>'Purchased Power Model'!C187</f>
        <v>199.79999999999998</v>
      </c>
      <c r="AB7" s="207">
        <f t="shared" ref="AB7:AB14" si="2">SUM(R7:AA7)/10</f>
        <v>194.45500000000001</v>
      </c>
      <c r="AC7" s="207">
        <f t="shared" si="1"/>
        <v>184.90447368421064</v>
      </c>
    </row>
    <row r="8" spans="1:29" x14ac:dyDescent="0.2">
      <c r="A8" s="13" t="s">
        <v>130</v>
      </c>
      <c r="B8" s="207">
        <v>87.1</v>
      </c>
      <c r="C8" s="207">
        <v>86.3</v>
      </c>
      <c r="D8" s="207">
        <v>44.1</v>
      </c>
      <c r="E8" s="207">
        <v>119.7</v>
      </c>
      <c r="F8" s="207">
        <v>85.4</v>
      </c>
      <c r="G8" s="207">
        <v>62</v>
      </c>
      <c r="H8" s="207">
        <v>54.2</v>
      </c>
      <c r="I8" s="207">
        <v>47.1</v>
      </c>
      <c r="J8" s="207">
        <v>30.7</v>
      </c>
      <c r="K8" s="207">
        <v>88.7</v>
      </c>
      <c r="L8" s="207">
        <v>50.6</v>
      </c>
      <c r="M8" s="207">
        <v>104.1</v>
      </c>
      <c r="N8" s="207">
        <v>59.5</v>
      </c>
      <c r="O8" s="207">
        <v>83.6</v>
      </c>
      <c r="P8" s="207">
        <v>64.5</v>
      </c>
      <c r="Q8" s="207">
        <v>104</v>
      </c>
      <c r="R8" s="207">
        <v>32</v>
      </c>
      <c r="S8" s="207">
        <v>53</v>
      </c>
      <c r="T8" s="207">
        <v>71.099999999999994</v>
      </c>
      <c r="U8" s="207">
        <v>53.8</v>
      </c>
      <c r="V8" s="207">
        <v>85.2</v>
      </c>
      <c r="W8" s="207">
        <v>71.2</v>
      </c>
      <c r="X8" s="207">
        <v>65.7</v>
      </c>
      <c r="Y8" s="207">
        <v>50.5</v>
      </c>
      <c r="Z8" s="207">
        <v>102.54999999999998</v>
      </c>
      <c r="AA8" s="207">
        <f>'Purchased Power Model'!C188</f>
        <v>53.399999999999991</v>
      </c>
      <c r="AB8" s="207">
        <f t="shared" si="2"/>
        <v>63.844999999999992</v>
      </c>
      <c r="AC8" s="207">
        <f t="shared" si="1"/>
        <v>72.375526315789557</v>
      </c>
    </row>
    <row r="9" spans="1:29" x14ac:dyDescent="0.2">
      <c r="A9" s="13" t="s">
        <v>131</v>
      </c>
      <c r="B9" s="207">
        <v>18.3</v>
      </c>
      <c r="C9" s="207">
        <v>30.2</v>
      </c>
      <c r="D9" s="207">
        <v>19.5</v>
      </c>
      <c r="E9" s="207">
        <v>84.9</v>
      </c>
      <c r="F9" s="207">
        <v>10.75</v>
      </c>
      <c r="G9" s="207">
        <v>16.100000000000001</v>
      </c>
      <c r="H9" s="207">
        <v>30.1</v>
      </c>
      <c r="I9" s="207">
        <v>34.9</v>
      </c>
      <c r="J9" s="207">
        <v>35.9</v>
      </c>
      <c r="K9" s="207">
        <v>23.3</v>
      </c>
      <c r="L9" s="207">
        <v>17.899999999999999</v>
      </c>
      <c r="M9" s="207">
        <v>48.4</v>
      </c>
      <c r="N9" s="207">
        <v>53.1</v>
      </c>
      <c r="O9" s="207">
        <v>18.2</v>
      </c>
      <c r="P9" s="207">
        <v>16.100000000000001</v>
      </c>
      <c r="Q9" s="207">
        <v>25.1</v>
      </c>
      <c r="R9" s="207">
        <v>13.7</v>
      </c>
      <c r="S9" s="207">
        <v>9.4</v>
      </c>
      <c r="T9" s="207">
        <v>34.200000000000003</v>
      </c>
      <c r="U9" s="207">
        <v>11.5</v>
      </c>
      <c r="V9" s="207">
        <v>46.3</v>
      </c>
      <c r="W9" s="207">
        <v>11</v>
      </c>
      <c r="X9" s="207">
        <v>2.9</v>
      </c>
      <c r="Y9" s="207">
        <v>2.2000000000000002</v>
      </c>
      <c r="Z9" s="207">
        <v>39.149999999999984</v>
      </c>
      <c r="AA9" s="207">
        <f>'Purchased Power Model'!C189</f>
        <v>57.800000000000004</v>
      </c>
      <c r="AB9" s="207">
        <f t="shared" si="2"/>
        <v>22.814999999999998</v>
      </c>
      <c r="AC9" s="207">
        <f t="shared" si="1"/>
        <v>22.533947368421082</v>
      </c>
    </row>
    <row r="10" spans="1:29" x14ac:dyDescent="0.2">
      <c r="A10" s="13" t="s">
        <v>132</v>
      </c>
      <c r="B10" s="207">
        <v>61.9</v>
      </c>
      <c r="C10" s="207">
        <v>39.9</v>
      </c>
      <c r="D10" s="207">
        <v>37.200000000000003</v>
      </c>
      <c r="E10" s="207">
        <v>84.2</v>
      </c>
      <c r="F10" s="207">
        <v>21.94</v>
      </c>
      <c r="G10" s="207">
        <v>80.900000000000006</v>
      </c>
      <c r="H10" s="207">
        <v>30.1</v>
      </c>
      <c r="I10" s="207">
        <v>31.3</v>
      </c>
      <c r="J10" s="207">
        <v>77.400000000000006</v>
      </c>
      <c r="K10" s="207">
        <v>22.6</v>
      </c>
      <c r="L10" s="207">
        <v>56.3</v>
      </c>
      <c r="M10" s="207">
        <v>51.5</v>
      </c>
      <c r="N10" s="207">
        <v>17.899999999999999</v>
      </c>
      <c r="O10" s="207">
        <v>22</v>
      </c>
      <c r="P10" s="207">
        <v>32.9</v>
      </c>
      <c r="Q10" s="207">
        <v>75.599999999999994</v>
      </c>
      <c r="R10" s="207">
        <v>18.8</v>
      </c>
      <c r="S10" s="207">
        <v>50.8</v>
      </c>
      <c r="T10" s="207">
        <v>36.799999999999997</v>
      </c>
      <c r="U10" s="207">
        <v>35.700000000000003</v>
      </c>
      <c r="V10" s="207">
        <v>60.9</v>
      </c>
      <c r="W10" s="207">
        <v>29.4</v>
      </c>
      <c r="X10" s="207">
        <v>16.7</v>
      </c>
      <c r="Y10" s="207">
        <v>27</v>
      </c>
      <c r="Z10" s="207">
        <v>49.000000000000014</v>
      </c>
      <c r="AA10" s="207">
        <f>'Purchased Power Model'!C190</f>
        <v>60</v>
      </c>
      <c r="AB10" s="207">
        <f t="shared" si="2"/>
        <v>38.510000000000005</v>
      </c>
      <c r="AC10" s="207">
        <f t="shared" si="1"/>
        <v>40.29684210526316</v>
      </c>
    </row>
    <row r="11" spans="1:29" x14ac:dyDescent="0.2">
      <c r="A11" s="13" t="s">
        <v>133</v>
      </c>
      <c r="B11" s="207">
        <v>166.9</v>
      </c>
      <c r="C11" s="207">
        <v>200.2</v>
      </c>
      <c r="D11" s="207">
        <v>210.5</v>
      </c>
      <c r="E11" s="207">
        <v>183.44</v>
      </c>
      <c r="F11" s="207">
        <v>238.96</v>
      </c>
      <c r="G11" s="207">
        <v>139.69999999999999</v>
      </c>
      <c r="H11" s="207">
        <v>222.6</v>
      </c>
      <c r="I11" s="207">
        <v>126.5</v>
      </c>
      <c r="J11" s="207">
        <v>167.9</v>
      </c>
      <c r="K11" s="207">
        <v>140.1</v>
      </c>
      <c r="L11" s="207">
        <v>114.9</v>
      </c>
      <c r="M11" s="207">
        <v>195.9</v>
      </c>
      <c r="N11" s="207">
        <v>161.19999999999999</v>
      </c>
      <c r="O11" s="207">
        <v>89.1</v>
      </c>
      <c r="P11" s="207">
        <v>111.8</v>
      </c>
      <c r="Q11" s="207">
        <v>103.5</v>
      </c>
      <c r="R11" s="207">
        <v>85.4</v>
      </c>
      <c r="S11" s="207">
        <v>183.8</v>
      </c>
      <c r="T11" s="207">
        <v>110</v>
      </c>
      <c r="U11" s="207">
        <v>151</v>
      </c>
      <c r="V11" s="207">
        <v>126.2</v>
      </c>
      <c r="W11" s="207">
        <v>177.3</v>
      </c>
      <c r="X11" s="207">
        <v>116.4</v>
      </c>
      <c r="Y11" s="207">
        <v>163</v>
      </c>
      <c r="Z11" s="207">
        <v>181.75</v>
      </c>
      <c r="AA11" s="207">
        <f>'Purchased Power Model'!C191</f>
        <v>157</v>
      </c>
      <c r="AB11" s="207">
        <f t="shared" si="2"/>
        <v>145.185</v>
      </c>
      <c r="AC11" s="207">
        <f t="shared" si="1"/>
        <v>141.12026315789467</v>
      </c>
    </row>
    <row r="12" spans="1:29" x14ac:dyDescent="0.2">
      <c r="A12" s="13" t="s">
        <v>134</v>
      </c>
      <c r="B12" s="207">
        <v>340.2</v>
      </c>
      <c r="C12" s="207">
        <v>380.6</v>
      </c>
      <c r="D12" s="207">
        <v>362.3</v>
      </c>
      <c r="E12" s="207">
        <v>427.7</v>
      </c>
      <c r="F12" s="207">
        <v>490.16</v>
      </c>
      <c r="G12" s="207">
        <v>310.39999999999998</v>
      </c>
      <c r="H12" s="207">
        <v>316.5</v>
      </c>
      <c r="I12" s="207">
        <v>373.2</v>
      </c>
      <c r="J12" s="207">
        <v>359.8</v>
      </c>
      <c r="K12" s="207">
        <v>347.6</v>
      </c>
      <c r="L12" s="207">
        <v>396.7</v>
      </c>
      <c r="M12" s="207">
        <v>336.8</v>
      </c>
      <c r="N12" s="207">
        <v>341.5</v>
      </c>
      <c r="O12" s="207">
        <v>438.3</v>
      </c>
      <c r="P12" s="207">
        <v>376.6</v>
      </c>
      <c r="Q12" s="207">
        <v>326.3</v>
      </c>
      <c r="R12" s="207">
        <v>300</v>
      </c>
      <c r="S12" s="207">
        <v>401.4</v>
      </c>
      <c r="T12" s="207">
        <v>262</v>
      </c>
      <c r="U12" s="207">
        <v>381.4</v>
      </c>
      <c r="V12" s="207">
        <v>409.4</v>
      </c>
      <c r="W12" s="207">
        <v>369.8</v>
      </c>
      <c r="X12" s="207">
        <v>295.3</v>
      </c>
      <c r="Y12" s="207">
        <v>331</v>
      </c>
      <c r="Z12" s="207">
        <v>321.95</v>
      </c>
      <c r="AA12" s="207">
        <f>'Purchased Power Model'!C192</f>
        <v>341.59999999999997</v>
      </c>
      <c r="AB12" s="207">
        <f t="shared" si="2"/>
        <v>341.38499999999999</v>
      </c>
      <c r="AC12" s="207">
        <f t="shared" si="1"/>
        <v>337.91394736842085</v>
      </c>
    </row>
    <row r="13" spans="1:29" x14ac:dyDescent="0.2">
      <c r="A13" s="13" t="s">
        <v>135</v>
      </c>
      <c r="B13" s="207">
        <v>683</v>
      </c>
      <c r="C13" s="207">
        <v>541.9</v>
      </c>
      <c r="D13" s="207">
        <v>577</v>
      </c>
      <c r="E13" s="207">
        <v>590.70000000000005</v>
      </c>
      <c r="F13" s="207">
        <v>648.29</v>
      </c>
      <c r="G13" s="207">
        <v>509</v>
      </c>
      <c r="H13" s="207">
        <v>700.4</v>
      </c>
      <c r="I13" s="207">
        <v>645.9</v>
      </c>
      <c r="J13" s="207">
        <v>598</v>
      </c>
      <c r="K13" s="207">
        <v>527</v>
      </c>
      <c r="L13" s="207">
        <v>504.5</v>
      </c>
      <c r="M13" s="207">
        <v>552.70000000000005</v>
      </c>
      <c r="N13" s="207">
        <v>457.5</v>
      </c>
      <c r="O13" s="207">
        <v>627.70000000000005</v>
      </c>
      <c r="P13" s="207">
        <v>523.70000000000005</v>
      </c>
      <c r="Q13" s="207">
        <v>537.20000000000005</v>
      </c>
      <c r="R13" s="207">
        <v>558.20000000000005</v>
      </c>
      <c r="S13" s="207">
        <v>496.8</v>
      </c>
      <c r="T13" s="207">
        <v>588.70000000000005</v>
      </c>
      <c r="U13" s="207">
        <v>559.4</v>
      </c>
      <c r="V13" s="207">
        <v>453.8</v>
      </c>
      <c r="W13" s="207">
        <v>526.1</v>
      </c>
      <c r="X13" s="207">
        <v>464.8</v>
      </c>
      <c r="Y13" s="207">
        <v>549.70000000000005</v>
      </c>
      <c r="Z13" s="207">
        <v>625.75</v>
      </c>
      <c r="AA13" s="207">
        <f>'Purchased Power Model'!C193</f>
        <v>642.99999999999989</v>
      </c>
      <c r="AB13" s="207">
        <f t="shared" si="2"/>
        <v>546.625</v>
      </c>
      <c r="AC13" s="207">
        <f t="shared" si="1"/>
        <v>532.09394736842023</v>
      </c>
    </row>
    <row r="14" spans="1:29" x14ac:dyDescent="0.2">
      <c r="A14" s="13" t="s">
        <v>136</v>
      </c>
      <c r="B14" s="207">
        <v>1110.5</v>
      </c>
      <c r="C14" s="207">
        <v>797.7</v>
      </c>
      <c r="D14" s="207">
        <v>847.6</v>
      </c>
      <c r="E14" s="207">
        <v>563.1</v>
      </c>
      <c r="F14" s="207">
        <v>823.9</v>
      </c>
      <c r="G14" s="207">
        <v>710.3</v>
      </c>
      <c r="H14" s="207">
        <v>934.6</v>
      </c>
      <c r="I14" s="207">
        <v>724.2</v>
      </c>
      <c r="J14" s="207">
        <v>790.4</v>
      </c>
      <c r="K14" s="207">
        <v>723.6</v>
      </c>
      <c r="L14" s="207">
        <v>759</v>
      </c>
      <c r="M14" s="207">
        <v>977.2</v>
      </c>
      <c r="N14" s="207">
        <v>656.1</v>
      </c>
      <c r="O14" s="207">
        <v>771.5</v>
      </c>
      <c r="P14" s="207">
        <v>762.2</v>
      </c>
      <c r="Q14" s="207">
        <v>896.5</v>
      </c>
      <c r="R14" s="207">
        <v>831.8</v>
      </c>
      <c r="S14" s="207">
        <v>674.9</v>
      </c>
      <c r="T14" s="207">
        <v>833.8</v>
      </c>
      <c r="U14" s="207">
        <v>869.7</v>
      </c>
      <c r="V14" s="207">
        <v>824.4</v>
      </c>
      <c r="W14" s="207">
        <v>812.9</v>
      </c>
      <c r="X14" s="207">
        <v>751.1</v>
      </c>
      <c r="Y14" s="207">
        <v>770.6</v>
      </c>
      <c r="Z14" s="207">
        <v>964.3</v>
      </c>
      <c r="AA14" s="207">
        <f>'Purchased Power Model'!C194</f>
        <v>710.49999999999989</v>
      </c>
      <c r="AB14" s="207">
        <f t="shared" si="2"/>
        <v>804.40000000000009</v>
      </c>
      <c r="AC14" s="207">
        <f t="shared" si="1"/>
        <v>806.56052631578939</v>
      </c>
    </row>
    <row r="15" spans="1:29" x14ac:dyDescent="0.2"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57">
        <f t="shared" ref="L15:Z15" si="3">SUM(L3:L14)</f>
        <v>4726.3999999999996</v>
      </c>
      <c r="M15" s="257">
        <f t="shared" si="3"/>
        <v>5205</v>
      </c>
      <c r="N15" s="257">
        <f t="shared" si="3"/>
        <v>4696.0999999999995</v>
      </c>
      <c r="O15" s="257">
        <f t="shared" si="3"/>
        <v>5124.5999999999995</v>
      </c>
      <c r="P15" s="257">
        <f t="shared" si="3"/>
        <v>5291.5</v>
      </c>
      <c r="Q15" s="257">
        <f t="shared" si="3"/>
        <v>5329.5999999999995</v>
      </c>
      <c r="R15" s="257">
        <f t="shared" si="3"/>
        <v>4911.4000000000005</v>
      </c>
      <c r="S15" s="257">
        <f t="shared" si="3"/>
        <v>4661.8</v>
      </c>
      <c r="T15" s="257">
        <f t="shared" si="3"/>
        <v>5035.7</v>
      </c>
      <c r="U15" s="257">
        <f t="shared" si="3"/>
        <v>5074.8999999999996</v>
      </c>
      <c r="V15" s="257">
        <f t="shared" si="3"/>
        <v>5174.9999999999991</v>
      </c>
      <c r="W15" s="257">
        <f t="shared" si="3"/>
        <v>4601.6000000000004</v>
      </c>
      <c r="X15" s="257">
        <f t="shared" si="3"/>
        <v>4856</v>
      </c>
      <c r="Y15" s="257">
        <f t="shared" si="3"/>
        <v>4541.3</v>
      </c>
      <c r="Z15" s="257">
        <f t="shared" si="3"/>
        <v>5359.05</v>
      </c>
      <c r="AA15" s="257">
        <f>SUM(AA3:AA14)</f>
        <v>5494</v>
      </c>
      <c r="AB15" s="251">
        <f>SUM(AB3:AB14)</f>
        <v>4971.0750000000007</v>
      </c>
      <c r="AC15" s="251">
        <f>SUM(AC3:AC14)</f>
        <v>4968.2239473684203</v>
      </c>
    </row>
    <row r="16" spans="1:29" x14ac:dyDescent="0.2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1:29" x14ac:dyDescent="0.2">
      <c r="A17" s="13" t="s">
        <v>137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1:29" x14ac:dyDescent="0.2">
      <c r="A18" s="13" t="s">
        <v>125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7">
        <v>0</v>
      </c>
      <c r="V18" s="207">
        <v>0</v>
      </c>
      <c r="W18" s="207">
        <v>0</v>
      </c>
      <c r="X18" s="207">
        <v>0</v>
      </c>
      <c r="Y18" s="207">
        <v>0</v>
      </c>
      <c r="Z18" s="207">
        <v>0</v>
      </c>
      <c r="AA18" s="207">
        <f>'Purchased Power Model'!D183</f>
        <v>0</v>
      </c>
      <c r="AB18" s="207">
        <f t="shared" ref="AB18:AB20" si="4">SUM(R18:AA18)/10</f>
        <v>0</v>
      </c>
      <c r="AC18" s="207">
        <f>TREND(H18:AA18,$H$2:$AA$2,2015)</f>
        <v>0</v>
      </c>
    </row>
    <row r="19" spans="1:29" x14ac:dyDescent="0.2">
      <c r="A19" s="13" t="s">
        <v>126</v>
      </c>
      <c r="B19" s="207">
        <v>0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07">
        <v>0</v>
      </c>
      <c r="T19" s="207">
        <v>0</v>
      </c>
      <c r="U19" s="207">
        <v>0</v>
      </c>
      <c r="V19" s="207">
        <v>0</v>
      </c>
      <c r="W19" s="207">
        <v>0</v>
      </c>
      <c r="X19" s="207">
        <v>0</v>
      </c>
      <c r="Y19" s="207">
        <v>0</v>
      </c>
      <c r="Z19" s="207">
        <v>0</v>
      </c>
      <c r="AA19" s="207">
        <f>'Purchased Power Model'!D184</f>
        <v>0</v>
      </c>
      <c r="AB19" s="207">
        <f t="shared" si="4"/>
        <v>0</v>
      </c>
      <c r="AC19" s="207">
        <f t="shared" ref="AC19:AC29" si="5">TREND(H19:AA19,$H$2:$AA$2,2015)</f>
        <v>0</v>
      </c>
    </row>
    <row r="20" spans="1:29" x14ac:dyDescent="0.2">
      <c r="A20" s="13" t="s">
        <v>127</v>
      </c>
      <c r="B20" s="207">
        <v>0</v>
      </c>
      <c r="C20" s="207">
        <v>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7">
        <v>0</v>
      </c>
      <c r="V20" s="207">
        <v>0</v>
      </c>
      <c r="W20" s="207">
        <v>0</v>
      </c>
      <c r="X20" s="207">
        <v>0</v>
      </c>
      <c r="Y20" s="207">
        <v>0.7</v>
      </c>
      <c r="Z20" s="207">
        <v>0</v>
      </c>
      <c r="AA20" s="207">
        <f>'Purchased Power Model'!D185</f>
        <v>0</v>
      </c>
      <c r="AB20" s="207">
        <f t="shared" si="4"/>
        <v>6.9999999999999993E-2</v>
      </c>
      <c r="AC20" s="207">
        <f t="shared" si="5"/>
        <v>0.11789473684210527</v>
      </c>
    </row>
    <row r="21" spans="1:29" x14ac:dyDescent="0.2">
      <c r="A21" s="13" t="s">
        <v>128</v>
      </c>
      <c r="B21" s="207">
        <v>0</v>
      </c>
      <c r="C21" s="207">
        <v>12.3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0.5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7">
        <v>0.4</v>
      </c>
      <c r="V21" s="207">
        <v>0.09</v>
      </c>
      <c r="W21" s="207">
        <v>0.1</v>
      </c>
      <c r="X21" s="207">
        <v>0</v>
      </c>
      <c r="Y21" s="207">
        <v>0</v>
      </c>
      <c r="Z21" s="207">
        <v>0</v>
      </c>
      <c r="AA21" s="207">
        <f>'Purchased Power Model'!D186</f>
        <v>0</v>
      </c>
      <c r="AB21" s="207">
        <f>SUM(R21:AA21)/10</f>
        <v>5.8999999999999997E-2</v>
      </c>
      <c r="AC21" s="207">
        <f t="shared" si="5"/>
        <v>7.1947368421052538E-2</v>
      </c>
    </row>
    <row r="22" spans="1:29" x14ac:dyDescent="0.2">
      <c r="A22" s="13" t="s">
        <v>129</v>
      </c>
      <c r="B22" s="207">
        <v>6</v>
      </c>
      <c r="C22" s="207">
        <v>15</v>
      </c>
      <c r="D22" s="207">
        <v>14.8</v>
      </c>
      <c r="E22" s="207">
        <v>2.5</v>
      </c>
      <c r="F22" s="207">
        <v>4</v>
      </c>
      <c r="G22" s="207">
        <v>2.2000000000000002</v>
      </c>
      <c r="H22" s="207">
        <v>0.5</v>
      </c>
      <c r="I22" s="207">
        <v>0</v>
      </c>
      <c r="J22" s="207">
        <v>0</v>
      </c>
      <c r="K22" s="207">
        <v>9.9</v>
      </c>
      <c r="L22" s="207">
        <v>16.100000000000001</v>
      </c>
      <c r="M22" s="207">
        <v>2.8</v>
      </c>
      <c r="N22" s="207">
        <v>3.7</v>
      </c>
      <c r="O22" s="207">
        <v>0.8</v>
      </c>
      <c r="P22" s="207">
        <v>0.7</v>
      </c>
      <c r="Q22" s="207">
        <v>4.0999999999999996</v>
      </c>
      <c r="R22" s="207">
        <v>0.9</v>
      </c>
      <c r="S22" s="207">
        <v>14.5</v>
      </c>
      <c r="T22" s="207">
        <v>15.1</v>
      </c>
      <c r="U22" s="207">
        <v>0</v>
      </c>
      <c r="V22" s="207">
        <v>0</v>
      </c>
      <c r="W22" s="207">
        <v>29.2</v>
      </c>
      <c r="X22" s="207">
        <v>6.9</v>
      </c>
      <c r="Y22" s="207">
        <v>13.8</v>
      </c>
      <c r="Z22" s="207">
        <v>9.6999999999999993</v>
      </c>
      <c r="AA22" s="207">
        <f>'Purchased Power Model'!D187</f>
        <v>1.3</v>
      </c>
      <c r="AB22" s="207">
        <f t="shared" ref="AB22:AB29" si="6">SUM(R22:AA22)/10</f>
        <v>9.14</v>
      </c>
      <c r="AC22" s="207">
        <f t="shared" si="5"/>
        <v>10.848421052631579</v>
      </c>
    </row>
    <row r="23" spans="1:29" x14ac:dyDescent="0.2">
      <c r="A23" s="13" t="s">
        <v>130</v>
      </c>
      <c r="B23" s="207">
        <v>25.6</v>
      </c>
      <c r="C23" s="207">
        <v>46.7</v>
      </c>
      <c r="D23" s="207">
        <v>39.1</v>
      </c>
      <c r="E23" s="207">
        <v>7.5</v>
      </c>
      <c r="F23" s="207">
        <v>4.4000000000000004</v>
      </c>
      <c r="G23" s="207">
        <v>36.1</v>
      </c>
      <c r="H23" s="207">
        <v>65.7</v>
      </c>
      <c r="I23" s="207">
        <v>20.100000000000001</v>
      </c>
      <c r="J23" s="207">
        <v>47.1</v>
      </c>
      <c r="K23" s="207">
        <v>52.6</v>
      </c>
      <c r="L23" s="207">
        <v>58.2</v>
      </c>
      <c r="M23" s="207">
        <v>11.3</v>
      </c>
      <c r="N23" s="207">
        <v>38.1</v>
      </c>
      <c r="O23" s="207">
        <v>34.1</v>
      </c>
      <c r="P23" s="207">
        <v>27.4</v>
      </c>
      <c r="Q23" s="207">
        <v>7.7</v>
      </c>
      <c r="R23" s="207">
        <v>75.7</v>
      </c>
      <c r="S23" s="207">
        <v>31.7</v>
      </c>
      <c r="T23" s="207">
        <v>55.8</v>
      </c>
      <c r="U23" s="207">
        <v>26.2</v>
      </c>
      <c r="V23" s="207">
        <v>34.1</v>
      </c>
      <c r="W23" s="207">
        <v>7.1</v>
      </c>
      <c r="X23" s="207">
        <v>22.2</v>
      </c>
      <c r="Y23" s="207">
        <v>49.1</v>
      </c>
      <c r="Z23" s="207">
        <v>15.000000000000004</v>
      </c>
      <c r="AA23" s="207">
        <f>'Purchased Power Model'!D188</f>
        <v>24.1</v>
      </c>
      <c r="AB23" s="207">
        <f t="shared" si="6"/>
        <v>34.1</v>
      </c>
      <c r="AC23" s="207">
        <f t="shared" si="5"/>
        <v>23.377368421052779</v>
      </c>
    </row>
    <row r="24" spans="1:29" x14ac:dyDescent="0.2">
      <c r="A24" s="13" t="s">
        <v>131</v>
      </c>
      <c r="B24" s="207">
        <v>75.599999999999994</v>
      </c>
      <c r="C24" s="207">
        <v>45.5</v>
      </c>
      <c r="D24" s="207">
        <v>66.900000000000006</v>
      </c>
      <c r="E24" s="207">
        <v>4.3</v>
      </c>
      <c r="F24" s="207">
        <v>56.18</v>
      </c>
      <c r="G24" s="207">
        <v>45.7</v>
      </c>
      <c r="H24" s="207">
        <v>56.5</v>
      </c>
      <c r="I24" s="207">
        <v>20.2</v>
      </c>
      <c r="J24" s="207">
        <v>51</v>
      </c>
      <c r="K24" s="207">
        <v>44.3</v>
      </c>
      <c r="L24" s="207">
        <v>80.400000000000006</v>
      </c>
      <c r="M24" s="207">
        <v>30.6</v>
      </c>
      <c r="N24" s="207">
        <v>62.5</v>
      </c>
      <c r="O24" s="207">
        <v>74.099999999999994</v>
      </c>
      <c r="P24" s="207">
        <v>37.4</v>
      </c>
      <c r="Q24" s="207">
        <v>41</v>
      </c>
      <c r="R24" s="207">
        <v>103</v>
      </c>
      <c r="S24" s="207">
        <v>81.400000000000006</v>
      </c>
      <c r="T24" s="207">
        <v>44.6</v>
      </c>
      <c r="U24" s="207">
        <v>38.299999999999997</v>
      </c>
      <c r="V24" s="207">
        <v>13.6</v>
      </c>
      <c r="W24" s="207">
        <v>90.4</v>
      </c>
      <c r="X24" s="207">
        <v>85.4</v>
      </c>
      <c r="Y24" s="207">
        <v>78.3</v>
      </c>
      <c r="Z24" s="207">
        <v>52.79999999999999</v>
      </c>
      <c r="AA24" s="207">
        <f>'Purchased Power Model'!D189</f>
        <v>17.900000000000002</v>
      </c>
      <c r="AB24" s="207">
        <f t="shared" si="6"/>
        <v>60.569999999999993</v>
      </c>
      <c r="AC24" s="207">
        <f t="shared" si="5"/>
        <v>59.911578947368525</v>
      </c>
    </row>
    <row r="25" spans="1:29" x14ac:dyDescent="0.2">
      <c r="A25" s="13" t="s">
        <v>132</v>
      </c>
      <c r="B25" s="207">
        <v>35.299999999999997</v>
      </c>
      <c r="C25" s="207">
        <v>4.3</v>
      </c>
      <c r="D25" s="207">
        <v>49.8</v>
      </c>
      <c r="E25" s="207">
        <v>14.3</v>
      </c>
      <c r="F25" s="207">
        <v>58.91</v>
      </c>
      <c r="G25" s="207">
        <v>6.1</v>
      </c>
      <c r="H25" s="207">
        <v>59.6</v>
      </c>
      <c r="I25" s="207">
        <v>35.799999999999997</v>
      </c>
      <c r="J25" s="207">
        <v>10.6</v>
      </c>
      <c r="K25" s="207">
        <v>57.9</v>
      </c>
      <c r="L25" s="207">
        <v>23.2</v>
      </c>
      <c r="M25" s="207">
        <v>24.2</v>
      </c>
      <c r="N25" s="207">
        <v>79</v>
      </c>
      <c r="O25" s="207">
        <v>62.6</v>
      </c>
      <c r="P25" s="207">
        <v>60.7</v>
      </c>
      <c r="Q25" s="207">
        <v>20.5</v>
      </c>
      <c r="R25" s="207">
        <v>66.5</v>
      </c>
      <c r="S25" s="207">
        <v>25.4</v>
      </c>
      <c r="T25" s="207">
        <v>48.9</v>
      </c>
      <c r="U25" s="207">
        <v>21.7</v>
      </c>
      <c r="V25" s="207">
        <v>35.6</v>
      </c>
      <c r="W25" s="207">
        <v>69.7</v>
      </c>
      <c r="X25" s="207">
        <v>45.9</v>
      </c>
      <c r="Y25" s="207">
        <v>44.9</v>
      </c>
      <c r="Z25" s="207">
        <v>23.449999999999992</v>
      </c>
      <c r="AA25" s="207">
        <f>'Purchased Power Model'!D190</f>
        <v>16.399999999999999</v>
      </c>
      <c r="AB25" s="207">
        <f t="shared" si="6"/>
        <v>39.844999999999992</v>
      </c>
      <c r="AC25" s="207">
        <f t="shared" si="5"/>
        <v>36.988157894736901</v>
      </c>
    </row>
    <row r="26" spans="1:29" x14ac:dyDescent="0.2">
      <c r="A26" s="13" t="s">
        <v>133</v>
      </c>
      <c r="B26" s="207">
        <v>6</v>
      </c>
      <c r="C26" s="207">
        <v>0</v>
      </c>
      <c r="D26" s="207">
        <v>4.9000000000000004</v>
      </c>
      <c r="E26" s="207">
        <v>1.7</v>
      </c>
      <c r="F26" s="207">
        <v>0</v>
      </c>
      <c r="G26" s="207">
        <v>2.4</v>
      </c>
      <c r="H26" s="207">
        <v>0</v>
      </c>
      <c r="I26" s="207">
        <v>21.6</v>
      </c>
      <c r="J26" s="207">
        <v>0</v>
      </c>
      <c r="K26" s="207">
        <v>1.7</v>
      </c>
      <c r="L26" s="207">
        <v>28.3</v>
      </c>
      <c r="M26" s="207">
        <v>5.7</v>
      </c>
      <c r="N26" s="207">
        <v>11.8</v>
      </c>
      <c r="O26" s="207">
        <v>30.2</v>
      </c>
      <c r="P26" s="207">
        <v>9.1</v>
      </c>
      <c r="Q26" s="207">
        <v>19.8</v>
      </c>
      <c r="R26" s="207">
        <v>17.3</v>
      </c>
      <c r="S26" s="207">
        <v>0.1</v>
      </c>
      <c r="T26" s="207">
        <v>13.7</v>
      </c>
      <c r="U26" s="207">
        <v>6.9</v>
      </c>
      <c r="V26" s="207">
        <v>4.9000000000000004</v>
      </c>
      <c r="W26" s="207">
        <v>11.8</v>
      </c>
      <c r="X26" s="207">
        <v>17.899999999999999</v>
      </c>
      <c r="Y26" s="207">
        <v>12.4</v>
      </c>
      <c r="Z26" s="207">
        <v>1.6499999999999986</v>
      </c>
      <c r="AA26" s="207">
        <f>'Purchased Power Model'!D191</f>
        <v>4.5999999999999996</v>
      </c>
      <c r="AB26" s="207">
        <f t="shared" si="6"/>
        <v>9.125</v>
      </c>
      <c r="AC26" s="207">
        <f t="shared" si="5"/>
        <v>9.4713157894736923</v>
      </c>
    </row>
    <row r="27" spans="1:29" x14ac:dyDescent="0.2">
      <c r="A27" s="13" t="s">
        <v>134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0.7</v>
      </c>
      <c r="I27" s="207">
        <v>0</v>
      </c>
      <c r="J27" s="207">
        <v>0.2</v>
      </c>
      <c r="K27" s="207">
        <v>0</v>
      </c>
      <c r="L27" s="207">
        <v>0</v>
      </c>
      <c r="M27" s="207">
        <v>0</v>
      </c>
      <c r="N27" s="207">
        <v>0</v>
      </c>
      <c r="O27" s="207">
        <v>2.2000000000000002</v>
      </c>
      <c r="P27" s="207">
        <v>0.4</v>
      </c>
      <c r="Q27" s="207">
        <v>0</v>
      </c>
      <c r="R27" s="207">
        <v>7.3</v>
      </c>
      <c r="S27" s="207">
        <v>0</v>
      </c>
      <c r="T27" s="207">
        <v>0</v>
      </c>
      <c r="U27" s="207">
        <v>0.7</v>
      </c>
      <c r="V27" s="207">
        <v>0</v>
      </c>
      <c r="W27" s="207">
        <v>0</v>
      </c>
      <c r="X27" s="207">
        <v>1.5</v>
      </c>
      <c r="Y27" s="207">
        <v>0</v>
      </c>
      <c r="Z27" s="207">
        <v>0</v>
      </c>
      <c r="AA27" s="207">
        <f>'Purchased Power Model'!D192</f>
        <v>0</v>
      </c>
      <c r="AB27" s="207">
        <f t="shared" si="6"/>
        <v>0.95</v>
      </c>
      <c r="AC27" s="207">
        <f t="shared" si="5"/>
        <v>0.67526315789473745</v>
      </c>
    </row>
    <row r="28" spans="1:29" x14ac:dyDescent="0.2">
      <c r="A28" s="13" t="s">
        <v>135</v>
      </c>
      <c r="B28" s="207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7">
        <v>0</v>
      </c>
      <c r="V28" s="207">
        <v>0</v>
      </c>
      <c r="W28" s="207">
        <v>0</v>
      </c>
      <c r="X28" s="207">
        <v>0</v>
      </c>
      <c r="Y28" s="207">
        <v>0</v>
      </c>
      <c r="Z28" s="207">
        <v>0</v>
      </c>
      <c r="AA28" s="207">
        <f>'Purchased Power Model'!D193</f>
        <v>0</v>
      </c>
      <c r="AB28" s="207">
        <f t="shared" si="6"/>
        <v>0</v>
      </c>
      <c r="AC28" s="207">
        <f t="shared" si="5"/>
        <v>0</v>
      </c>
    </row>
    <row r="29" spans="1:29" x14ac:dyDescent="0.2">
      <c r="A29" s="13" t="s">
        <v>136</v>
      </c>
      <c r="B29" s="207">
        <v>0</v>
      </c>
      <c r="C29" s="207">
        <v>0</v>
      </c>
      <c r="D29" s="207">
        <v>0</v>
      </c>
      <c r="E29" s="207">
        <v>0</v>
      </c>
      <c r="F29" s="207">
        <v>0</v>
      </c>
      <c r="G29" s="207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  <c r="W29" s="207">
        <v>0</v>
      </c>
      <c r="X29" s="207">
        <v>0</v>
      </c>
      <c r="Y29" s="207">
        <v>0</v>
      </c>
      <c r="Z29" s="207">
        <v>0</v>
      </c>
      <c r="AA29" s="207">
        <f>'Purchased Power Model'!D194</f>
        <v>0</v>
      </c>
      <c r="AB29" s="207">
        <f t="shared" si="6"/>
        <v>0</v>
      </c>
      <c r="AC29" s="207">
        <f t="shared" si="5"/>
        <v>0</v>
      </c>
    </row>
    <row r="30" spans="1:29" x14ac:dyDescent="0.2"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57">
        <f t="shared" ref="L30:AA30" si="7">SUM(L18:L29)</f>
        <v>206.20000000000002</v>
      </c>
      <c r="M30" s="257">
        <f t="shared" si="7"/>
        <v>74.600000000000009</v>
      </c>
      <c r="N30" s="257">
        <f t="shared" si="7"/>
        <v>195.10000000000002</v>
      </c>
      <c r="O30" s="257">
        <f t="shared" si="7"/>
        <v>204.49999999999997</v>
      </c>
      <c r="P30" s="257">
        <f t="shared" si="7"/>
        <v>135.70000000000002</v>
      </c>
      <c r="Q30" s="257">
        <f t="shared" si="7"/>
        <v>93.1</v>
      </c>
      <c r="R30" s="257">
        <f t="shared" si="7"/>
        <v>270.70000000000005</v>
      </c>
      <c r="S30" s="257">
        <f t="shared" si="7"/>
        <v>153.1</v>
      </c>
      <c r="T30" s="257">
        <f t="shared" si="7"/>
        <v>178.1</v>
      </c>
      <c r="U30" s="257">
        <f t="shared" si="7"/>
        <v>94.2</v>
      </c>
      <c r="V30" s="257">
        <f t="shared" si="7"/>
        <v>88.29000000000002</v>
      </c>
      <c r="W30" s="257">
        <f t="shared" si="7"/>
        <v>208.3</v>
      </c>
      <c r="X30" s="257">
        <f t="shared" si="7"/>
        <v>179.8</v>
      </c>
      <c r="Y30" s="257">
        <f t="shared" si="7"/>
        <v>199.20000000000002</v>
      </c>
      <c r="Z30" s="257">
        <f t="shared" si="7"/>
        <v>102.6</v>
      </c>
      <c r="AA30" s="257">
        <f t="shared" si="7"/>
        <v>64.3</v>
      </c>
      <c r="AB30" s="251">
        <f>SUM(AB18:AB29)</f>
        <v>153.85899999999998</v>
      </c>
      <c r="AC30" s="251">
        <f>SUM(AC18:AC29)</f>
        <v>141.46194736842136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2015-05-06T19:17:18Z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