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5576" windowHeight="9792" firstSheet="16" activeTab="23"/>
  </bookViews>
  <sheets>
    <sheet name="Res (100kWh)" sheetId="1" r:id="rId1"/>
    <sheet name="Res (250kWh)" sheetId="2" r:id="rId2"/>
    <sheet name="Res (500kWh)" sheetId="3" r:id="rId3"/>
    <sheet name="Res (800kWh)" sheetId="4" r:id="rId4"/>
    <sheet name="Res (1,000kWh)" sheetId="5" r:id="rId5"/>
    <sheet name="Res (1,500kWh)" sheetId="6" r:id="rId6"/>
    <sheet name="Res (2,000kWh)" sheetId="7" r:id="rId7"/>
    <sheet name="GS&lt;50 (1,000kWh)" sheetId="8" r:id="rId8"/>
    <sheet name="GS&lt;50 (2,000kWh)" sheetId="9" r:id="rId9"/>
    <sheet name="GS&lt;50 (5,000kWh)" sheetId="10" r:id="rId10"/>
    <sheet name="GS&lt;50 (10,000kWh)" sheetId="11" r:id="rId11"/>
    <sheet name="GS&lt;50 (15,000kWh)" sheetId="12" r:id="rId12"/>
    <sheet name="GS 50-4999 (60kW)" sheetId="13" r:id="rId13"/>
    <sheet name="GS 50-4999 (100kW)" sheetId="19" r:id="rId14"/>
    <sheet name="GS 50-4999 (250kW)" sheetId="25" r:id="rId15"/>
    <sheet name="GS 50-4999 (500kW)" sheetId="23" r:id="rId16"/>
    <sheet name="GS 50-4999 (1,000kW)" sheetId="14" r:id="rId17"/>
    <sheet name="LU (14,500kW)" sheetId="15" r:id="rId18"/>
    <sheet name="SL (1kW)" sheetId="16" r:id="rId19"/>
    <sheet name="SL (.14 kW)" sheetId="27" r:id="rId20"/>
    <sheet name="USL (150kWh)" sheetId="17" r:id="rId21"/>
    <sheet name="ED (6,000kW)" sheetId="26" r:id="rId22"/>
    <sheet name="Summary" sheetId="24" r:id="rId23"/>
    <sheet name="Sum Typical" sheetId="28" r:id="rId24"/>
  </sheets>
  <externalReferences>
    <externalReference r:id="rId25"/>
  </externalReferences>
  <definedNames>
    <definedName name="EBNUMBER">'[1]LDC Info'!$E$16</definedName>
    <definedName name="_xlnm.Print_Area" localSheetId="16">'GS 50-4999 (1,000kW)'!$A$1:$O$88</definedName>
    <definedName name="_xlnm.Print_Area" localSheetId="13">'GS 50-4999 (100kW)'!$A$1:$O$88</definedName>
    <definedName name="_xlnm.Print_Area" localSheetId="15">'GS 50-4999 (500kW)'!$A$1:$O$88</definedName>
    <definedName name="_xlnm.Print_Area" localSheetId="12">'GS 50-4999 (60kW)'!$A$1:$O$88</definedName>
    <definedName name="_xlnm.Print_Area" localSheetId="7">'GS&lt;50 (1,000kWh)'!$A$1:$O$89</definedName>
    <definedName name="_xlnm.Print_Area" localSheetId="10">'GS&lt;50 (10,000kWh)'!$A$1:$O$89</definedName>
    <definedName name="_xlnm.Print_Area" localSheetId="11">'GS&lt;50 (15,000kWh)'!$A$1:$O$89</definedName>
    <definedName name="_xlnm.Print_Area" localSheetId="8">'GS&lt;50 (2,000kWh)'!$A$1:$O$89</definedName>
    <definedName name="_xlnm.Print_Area" localSheetId="9">'GS&lt;50 (5,000kWh)'!$A$1:$O$89</definedName>
    <definedName name="_xlnm.Print_Area" localSheetId="17">'LU (14,500kW)'!$A$1:$O$88</definedName>
    <definedName name="_xlnm.Print_Area" localSheetId="4">'Res (1,000kWh)'!$A$1:$O$89</definedName>
    <definedName name="_xlnm.Print_Area" localSheetId="5">'Res (1,500kWh)'!$A$1:$O$89</definedName>
    <definedName name="_xlnm.Print_Area" localSheetId="0">'Res (100kWh)'!$A$1:$O$89</definedName>
    <definedName name="_xlnm.Print_Area" localSheetId="6">'Res (2,000kWh)'!$A$1:$O$89</definedName>
    <definedName name="_xlnm.Print_Area" localSheetId="1">'Res (250kWh)'!$A$1:$O$89</definedName>
    <definedName name="_xlnm.Print_Area" localSheetId="2">'Res (500kWh)'!$A$1:$O$89</definedName>
    <definedName name="_xlnm.Print_Area" localSheetId="3">'Res (800kWh)'!$A$1:$O$89</definedName>
    <definedName name="_xlnm.Print_Area" localSheetId="18">'SL (1kW)'!$A$1:$O$88</definedName>
    <definedName name="_xlnm.Print_Area" localSheetId="20">'USL (150kWh)'!$A$1:$O$88</definedName>
  </definedNames>
  <calcPr calcId="145621" iterate="1" iterateCount="10000"/>
</workbook>
</file>

<file path=xl/calcChain.xml><?xml version="1.0" encoding="utf-8"?>
<calcChain xmlns="http://schemas.openxmlformats.org/spreadsheetml/2006/main">
  <c r="J57" i="15" l="1"/>
  <c r="J56" i="15"/>
  <c r="F43" i="23"/>
  <c r="G48" i="24" l="1"/>
  <c r="G28" i="28" s="1"/>
  <c r="J72" i="27"/>
  <c r="F72" i="27"/>
  <c r="O68" i="27"/>
  <c r="N68" i="27"/>
  <c r="G57" i="27"/>
  <c r="K57" i="27" s="1"/>
  <c r="G56" i="27"/>
  <c r="K56" i="27" s="1"/>
  <c r="L56" i="27" s="1"/>
  <c r="L55" i="27"/>
  <c r="H55" i="27"/>
  <c r="O55" i="27" s="1"/>
  <c r="L54" i="27"/>
  <c r="N54" i="27" s="1"/>
  <c r="H54" i="27"/>
  <c r="O54" i="27" s="1"/>
  <c r="K53" i="27"/>
  <c r="G53" i="27"/>
  <c r="H53" i="27" s="1"/>
  <c r="F53" i="27"/>
  <c r="J53" i="27" s="1"/>
  <c r="K52" i="27"/>
  <c r="L52" i="27" s="1"/>
  <c r="J52" i="27"/>
  <c r="G52" i="27"/>
  <c r="H52" i="27" s="1"/>
  <c r="L51" i="27"/>
  <c r="N51" i="27" s="1"/>
  <c r="J51" i="27"/>
  <c r="H51" i="27"/>
  <c r="O51" i="27" s="1"/>
  <c r="J50" i="27"/>
  <c r="K49" i="27"/>
  <c r="L49" i="27" s="1"/>
  <c r="J49" i="27"/>
  <c r="G49" i="27"/>
  <c r="H49" i="27" s="1"/>
  <c r="G47" i="27"/>
  <c r="H47" i="27" s="1"/>
  <c r="G46" i="27"/>
  <c r="H46" i="27" s="1"/>
  <c r="L44" i="27"/>
  <c r="N44" i="27" s="1"/>
  <c r="H44" i="27"/>
  <c r="K43" i="27"/>
  <c r="G43" i="27"/>
  <c r="K42" i="27"/>
  <c r="L42" i="27" s="1"/>
  <c r="N42" i="27" s="1"/>
  <c r="O42" i="27" s="1"/>
  <c r="H42" i="27"/>
  <c r="G42" i="27"/>
  <c r="K41" i="27"/>
  <c r="L41" i="27" s="1"/>
  <c r="G41" i="27"/>
  <c r="H41" i="27" s="1"/>
  <c r="K40" i="27"/>
  <c r="L40" i="27" s="1"/>
  <c r="N40" i="27" s="1"/>
  <c r="H40" i="27"/>
  <c r="O40" i="27" s="1"/>
  <c r="G40" i="27"/>
  <c r="K39" i="27"/>
  <c r="L39" i="27" s="1"/>
  <c r="G39" i="27"/>
  <c r="H39" i="27" s="1"/>
  <c r="O39" i="27" s="1"/>
  <c r="K38" i="27"/>
  <c r="L38" i="27" s="1"/>
  <c r="K36" i="27"/>
  <c r="L36" i="27" s="1"/>
  <c r="G36" i="27"/>
  <c r="H36" i="27" s="1"/>
  <c r="O36" i="27" s="1"/>
  <c r="K35" i="27"/>
  <c r="L35" i="27" s="1"/>
  <c r="G35" i="27"/>
  <c r="H35" i="27" s="1"/>
  <c r="O35" i="27" s="1"/>
  <c r="K34" i="27"/>
  <c r="L34" i="27" s="1"/>
  <c r="N34" i="27" s="1"/>
  <c r="H34" i="27"/>
  <c r="O34" i="27" s="1"/>
  <c r="G34" i="27"/>
  <c r="L33" i="27"/>
  <c r="K33" i="27"/>
  <c r="G33" i="27"/>
  <c r="H33" i="27" s="1"/>
  <c r="O33" i="27" s="1"/>
  <c r="K32" i="27"/>
  <c r="L32" i="27" s="1"/>
  <c r="N32" i="27" s="1"/>
  <c r="H32" i="27"/>
  <c r="O32" i="27" s="1"/>
  <c r="G32" i="27"/>
  <c r="K31" i="27"/>
  <c r="L31" i="27" s="1"/>
  <c r="N31" i="27" s="1"/>
  <c r="G31" i="27"/>
  <c r="H31" i="27" s="1"/>
  <c r="O31" i="27" s="1"/>
  <c r="L30" i="27"/>
  <c r="N30" i="27" s="1"/>
  <c r="K30" i="27"/>
  <c r="H30" i="27"/>
  <c r="O30" i="27" s="1"/>
  <c r="G30" i="27"/>
  <c r="K29" i="27"/>
  <c r="L29" i="27" s="1"/>
  <c r="N29" i="27" s="1"/>
  <c r="G29" i="27"/>
  <c r="H29" i="27" s="1"/>
  <c r="O29" i="27" s="1"/>
  <c r="L28" i="27"/>
  <c r="K28" i="27"/>
  <c r="G28" i="27"/>
  <c r="H28" i="27" s="1"/>
  <c r="O28" i="27" s="1"/>
  <c r="L27" i="27"/>
  <c r="K27" i="27"/>
  <c r="G27" i="27"/>
  <c r="G38" i="27" s="1"/>
  <c r="H38" i="27" s="1"/>
  <c r="K26" i="27"/>
  <c r="L26" i="27" s="1"/>
  <c r="G26" i="27"/>
  <c r="H26" i="27" s="1"/>
  <c r="O26" i="27" s="1"/>
  <c r="L25" i="27"/>
  <c r="K25" i="27"/>
  <c r="G25" i="27"/>
  <c r="H25" i="27" s="1"/>
  <c r="O24" i="27"/>
  <c r="L24" i="27"/>
  <c r="N24" i="27" s="1"/>
  <c r="H24" i="27"/>
  <c r="O23" i="27"/>
  <c r="L23" i="27"/>
  <c r="N23" i="27" s="1"/>
  <c r="H23" i="27"/>
  <c r="O22" i="27"/>
  <c r="L22" i="27"/>
  <c r="N22" i="27" s="1"/>
  <c r="H22" i="27"/>
  <c r="L21" i="27"/>
  <c r="N21" i="27" s="1"/>
  <c r="O21" i="27" s="1"/>
  <c r="H21" i="27"/>
  <c r="N39" i="27" l="1"/>
  <c r="N26" i="27"/>
  <c r="N41" i="27"/>
  <c r="H27" i="27"/>
  <c r="N25" i="27"/>
  <c r="N27" i="27"/>
  <c r="O27" i="27" s="1"/>
  <c r="K46" i="27"/>
  <c r="L46" i="27" s="1"/>
  <c r="N46" i="27" s="1"/>
  <c r="O46" i="27" s="1"/>
  <c r="N35" i="27"/>
  <c r="N36" i="27"/>
  <c r="N28" i="27"/>
  <c r="K50" i="27"/>
  <c r="L50" i="27" s="1"/>
  <c r="H37" i="27"/>
  <c r="N33" i="27"/>
  <c r="O25" i="27"/>
  <c r="O41" i="27"/>
  <c r="N49" i="27"/>
  <c r="O49" i="27" s="1"/>
  <c r="N52" i="27"/>
  <c r="O52" i="27" s="1"/>
  <c r="J43" i="27"/>
  <c r="L43" i="27" s="1"/>
  <c r="L57" i="27"/>
  <c r="L53" i="27"/>
  <c r="N38" i="27"/>
  <c r="O38" i="27" s="1"/>
  <c r="G50" i="27"/>
  <c r="H50" i="27" s="1"/>
  <c r="L37" i="27"/>
  <c r="N55" i="27"/>
  <c r="F43" i="27"/>
  <c r="H43" i="27" s="1"/>
  <c r="H57" i="27"/>
  <c r="O57" i="27" s="1"/>
  <c r="H56" i="27"/>
  <c r="G46" i="17"/>
  <c r="H46" i="17" s="1"/>
  <c r="K47" i="27" l="1"/>
  <c r="L47" i="27" s="1"/>
  <c r="N47" i="27" s="1"/>
  <c r="O47" i="27" s="1"/>
  <c r="N50" i="27"/>
  <c r="H45" i="27"/>
  <c r="L45" i="27"/>
  <c r="N37" i="27"/>
  <c r="O37" i="27" s="1"/>
  <c r="K48" i="24" s="1"/>
  <c r="K28" i="28" s="1"/>
  <c r="N57" i="27"/>
  <c r="N43" i="27"/>
  <c r="O43" i="27" s="1"/>
  <c r="N56" i="27"/>
  <c r="O56" i="27" s="1"/>
  <c r="O50" i="27"/>
  <c r="N53" i="27"/>
  <c r="O53" i="27" s="1"/>
  <c r="G47" i="17"/>
  <c r="H47" i="17" s="1"/>
  <c r="L48" i="27" l="1"/>
  <c r="N45" i="27"/>
  <c r="O45" i="27" s="1"/>
  <c r="H48" i="27"/>
  <c r="F47" i="25"/>
  <c r="F46" i="25"/>
  <c r="H65" i="27" l="1"/>
  <c r="H59" i="27"/>
  <c r="N48" i="27"/>
  <c r="O48" i="27" s="1"/>
  <c r="L65" i="27"/>
  <c r="L59" i="27"/>
  <c r="F53" i="13"/>
  <c r="H60" i="27" l="1"/>
  <c r="H61" i="27" s="1"/>
  <c r="N65" i="27"/>
  <c r="O65" i="27" s="1"/>
  <c r="L66" i="27"/>
  <c r="H66" i="27"/>
  <c r="H67" i="27" s="1"/>
  <c r="L60" i="27"/>
  <c r="N60" i="27" s="1"/>
  <c r="N59" i="27"/>
  <c r="O59" i="27" s="1"/>
  <c r="K46" i="26"/>
  <c r="G46" i="26"/>
  <c r="K46" i="16"/>
  <c r="G46" i="16"/>
  <c r="K46" i="15"/>
  <c r="G46" i="15"/>
  <c r="K46" i="14"/>
  <c r="G46" i="14"/>
  <c r="K46" i="23"/>
  <c r="G46" i="23"/>
  <c r="K46" i="25"/>
  <c r="G46" i="25"/>
  <c r="K46" i="19"/>
  <c r="G46" i="19"/>
  <c r="K46" i="13"/>
  <c r="G46" i="13"/>
  <c r="N66" i="27" l="1"/>
  <c r="L61" i="27"/>
  <c r="N61" i="27" s="1"/>
  <c r="O61" i="27" s="1"/>
  <c r="L67" i="27"/>
  <c r="H62" i="27"/>
  <c r="H69" i="27"/>
  <c r="O66" i="27"/>
  <c r="O60" i="27"/>
  <c r="L62" i="27" l="1"/>
  <c r="L63" i="27" s="1"/>
  <c r="H63" i="27"/>
  <c r="N67" i="27"/>
  <c r="O67" i="27" s="1"/>
  <c r="L69" i="27"/>
  <c r="N69" i="27" l="1"/>
  <c r="O69" i="27" s="1"/>
  <c r="H48" i="24"/>
  <c r="N62" i="27"/>
  <c r="O62" i="27" s="1"/>
  <c r="N63" i="27"/>
  <c r="O63" i="27" s="1"/>
  <c r="I48" i="24" l="1"/>
  <c r="H28" i="28"/>
  <c r="J22" i="14"/>
  <c r="J22" i="23"/>
  <c r="J22" i="25"/>
  <c r="J22" i="19"/>
  <c r="G22" i="13"/>
  <c r="J22" i="12"/>
  <c r="J22" i="11"/>
  <c r="J22" i="10"/>
  <c r="J22" i="9"/>
  <c r="K22" i="15"/>
  <c r="K22" i="14"/>
  <c r="K22" i="23"/>
  <c r="K22" i="25"/>
  <c r="K22" i="19"/>
  <c r="K22" i="13"/>
  <c r="K22" i="12"/>
  <c r="K22" i="11"/>
  <c r="K22" i="10"/>
  <c r="K22" i="9"/>
  <c r="G22" i="15"/>
  <c r="G22" i="14"/>
  <c r="G22" i="23"/>
  <c r="G22" i="25"/>
  <c r="G22" i="19"/>
  <c r="G25" i="13"/>
  <c r="G22" i="12"/>
  <c r="G22" i="11"/>
  <c r="G22" i="10"/>
  <c r="G22" i="9"/>
  <c r="O22" i="8"/>
  <c r="K22" i="8"/>
  <c r="G22" i="8"/>
  <c r="J48" i="24" l="1"/>
  <c r="J28" i="28" s="1"/>
  <c r="I28" i="28"/>
  <c r="F72" i="26"/>
  <c r="F72" i="17"/>
  <c r="F72" i="16"/>
  <c r="F72" i="14"/>
  <c r="F72" i="23"/>
  <c r="F72" i="25"/>
  <c r="F72" i="19"/>
  <c r="F72" i="13"/>
  <c r="F73" i="12"/>
  <c r="F73" i="11"/>
  <c r="F73" i="10"/>
  <c r="F73" i="9"/>
  <c r="O24" i="4"/>
  <c r="F53" i="25" l="1"/>
  <c r="F53" i="26"/>
  <c r="F53" i="16"/>
  <c r="F53" i="15"/>
  <c r="O68" i="26" l="1"/>
  <c r="N68" i="26"/>
  <c r="K57" i="26"/>
  <c r="H56" i="26"/>
  <c r="L55" i="26"/>
  <c r="N55" i="26" s="1"/>
  <c r="H55" i="26"/>
  <c r="O55" i="26" s="1"/>
  <c r="L54" i="26"/>
  <c r="H54" i="26"/>
  <c r="O54" i="26" s="1"/>
  <c r="J53" i="26"/>
  <c r="G53" i="26"/>
  <c r="H53" i="26" s="1"/>
  <c r="K52" i="26"/>
  <c r="L52" i="26" s="1"/>
  <c r="J52" i="26"/>
  <c r="G52" i="26"/>
  <c r="H52" i="26" s="1"/>
  <c r="J51" i="26"/>
  <c r="L51" i="26" s="1"/>
  <c r="N51" i="26" s="1"/>
  <c r="H51" i="26"/>
  <c r="O51" i="26" s="1"/>
  <c r="J50" i="26"/>
  <c r="K49" i="26"/>
  <c r="K50" i="26" s="1"/>
  <c r="L50" i="26" s="1"/>
  <c r="J49" i="26"/>
  <c r="G49" i="26"/>
  <c r="H49" i="26" s="1"/>
  <c r="G47" i="26"/>
  <c r="H47" i="26" s="1"/>
  <c r="N44" i="26"/>
  <c r="L44" i="26"/>
  <c r="H44" i="26"/>
  <c r="K43" i="26"/>
  <c r="G43" i="26"/>
  <c r="F43" i="26"/>
  <c r="K42" i="26"/>
  <c r="L42" i="26"/>
  <c r="N42" i="26" s="1"/>
  <c r="H42" i="26"/>
  <c r="G42" i="26"/>
  <c r="K41" i="26"/>
  <c r="L41" i="26" s="1"/>
  <c r="G41" i="26"/>
  <c r="H41" i="26" s="1"/>
  <c r="L40" i="26"/>
  <c r="K40" i="26"/>
  <c r="G40" i="26"/>
  <c r="H40" i="26" s="1"/>
  <c r="O40" i="26" s="1"/>
  <c r="L39" i="26"/>
  <c r="K39" i="26"/>
  <c r="G39" i="26"/>
  <c r="H39" i="26" s="1"/>
  <c r="O39" i="26" s="1"/>
  <c r="K38" i="26"/>
  <c r="L38" i="26" s="1"/>
  <c r="K36" i="26"/>
  <c r="L36" i="26" s="1"/>
  <c r="G36" i="26"/>
  <c r="H36" i="26" s="1"/>
  <c r="O36" i="26" s="1"/>
  <c r="K35" i="26"/>
  <c r="L35" i="26" s="1"/>
  <c r="G35" i="26"/>
  <c r="H35" i="26" s="1"/>
  <c r="O35" i="26" s="1"/>
  <c r="K34" i="26"/>
  <c r="L34" i="26" s="1"/>
  <c r="G34" i="26"/>
  <c r="H34" i="26" s="1"/>
  <c r="O34" i="26" s="1"/>
  <c r="K33" i="26"/>
  <c r="L33" i="26" s="1"/>
  <c r="G33" i="26"/>
  <c r="H33" i="26" s="1"/>
  <c r="O33" i="26" s="1"/>
  <c r="K32" i="26"/>
  <c r="L32" i="26" s="1"/>
  <c r="G32" i="26"/>
  <c r="H32" i="26" s="1"/>
  <c r="O32" i="26" s="1"/>
  <c r="K31" i="26"/>
  <c r="L31" i="26" s="1"/>
  <c r="G31" i="26"/>
  <c r="H31" i="26" s="1"/>
  <c r="O31" i="26" s="1"/>
  <c r="K30" i="26"/>
  <c r="L30" i="26" s="1"/>
  <c r="G30" i="26"/>
  <c r="H30" i="26" s="1"/>
  <c r="O30" i="26" s="1"/>
  <c r="K29" i="26"/>
  <c r="L29" i="26" s="1"/>
  <c r="G29" i="26"/>
  <c r="H29" i="26" s="1"/>
  <c r="O29" i="26" s="1"/>
  <c r="K28" i="26"/>
  <c r="L28" i="26" s="1"/>
  <c r="H28" i="26"/>
  <c r="O28" i="26" s="1"/>
  <c r="G28" i="26"/>
  <c r="K27" i="26"/>
  <c r="L27" i="26" s="1"/>
  <c r="G27" i="26"/>
  <c r="G38" i="26" s="1"/>
  <c r="H38" i="26" s="1"/>
  <c r="K26" i="26"/>
  <c r="L26" i="26" s="1"/>
  <c r="G26" i="26"/>
  <c r="H26" i="26" s="1"/>
  <c r="O26" i="26" s="1"/>
  <c r="K25" i="26"/>
  <c r="L25" i="26" s="1"/>
  <c r="G25" i="26"/>
  <c r="H25" i="26" s="1"/>
  <c r="L24" i="26"/>
  <c r="N24" i="26" s="1"/>
  <c r="H24" i="26"/>
  <c r="O24" i="26" s="1"/>
  <c r="O23" i="26"/>
  <c r="N23" i="26"/>
  <c r="L23" i="26"/>
  <c r="H23" i="26"/>
  <c r="L22" i="26"/>
  <c r="N22" i="26" s="1"/>
  <c r="H22" i="26"/>
  <c r="O22" i="26" s="1"/>
  <c r="L21" i="26"/>
  <c r="H21" i="26"/>
  <c r="N54" i="26" l="1"/>
  <c r="H43" i="26"/>
  <c r="N41" i="26"/>
  <c r="O41" i="26" s="1"/>
  <c r="L46" i="26"/>
  <c r="N21" i="26"/>
  <c r="O21" i="26"/>
  <c r="N32" i="26"/>
  <c r="N36" i="26"/>
  <c r="N34" i="26"/>
  <c r="K53" i="26"/>
  <c r="L53" i="26" s="1"/>
  <c r="N53" i="26" s="1"/>
  <c r="O53" i="26" s="1"/>
  <c r="N52" i="26"/>
  <c r="O52" i="26" s="1"/>
  <c r="L49" i="26"/>
  <c r="N31" i="26"/>
  <c r="N35" i="26"/>
  <c r="G50" i="26"/>
  <c r="H50" i="26" s="1"/>
  <c r="N50" i="26" s="1"/>
  <c r="O50" i="26" s="1"/>
  <c r="N28" i="26"/>
  <c r="N39" i="26"/>
  <c r="H46" i="26"/>
  <c r="H27" i="26"/>
  <c r="N27" i="26" s="1"/>
  <c r="O27" i="26" s="1"/>
  <c r="O42" i="26"/>
  <c r="N49" i="26"/>
  <c r="O49" i="26" s="1"/>
  <c r="N25" i="26"/>
  <c r="O25" i="26" s="1"/>
  <c r="N33" i="26"/>
  <c r="N40" i="26"/>
  <c r="N38" i="26"/>
  <c r="O38" i="26" s="1"/>
  <c r="L57" i="26"/>
  <c r="J43" i="26"/>
  <c r="L43" i="26" s="1"/>
  <c r="N43" i="26" s="1"/>
  <c r="O43" i="26" s="1"/>
  <c r="N26" i="26"/>
  <c r="L37" i="26"/>
  <c r="N30" i="26"/>
  <c r="N29" i="26"/>
  <c r="K56" i="26"/>
  <c r="L56" i="26" s="1"/>
  <c r="N56" i="26" s="1"/>
  <c r="O56" i="26" s="1"/>
  <c r="K47" i="26"/>
  <c r="L47" i="26" s="1"/>
  <c r="N47" i="26" s="1"/>
  <c r="O47" i="26" s="1"/>
  <c r="H57" i="26"/>
  <c r="N46" i="26" l="1"/>
  <c r="H37" i="26"/>
  <c r="H45" i="26" s="1"/>
  <c r="O46" i="26"/>
  <c r="N37" i="26"/>
  <c r="O37" i="26" s="1"/>
  <c r="K51" i="24" s="1"/>
  <c r="K31" i="28" s="1"/>
  <c r="L45" i="26"/>
  <c r="N57" i="26"/>
  <c r="O57" i="26" s="1"/>
  <c r="L48" i="26" l="1"/>
  <c r="N45" i="26"/>
  <c r="O45" i="26" s="1"/>
  <c r="H48" i="26"/>
  <c r="H65" i="26" s="1"/>
  <c r="H59" i="26" l="1"/>
  <c r="N48" i="26"/>
  <c r="O48" i="26" s="1"/>
  <c r="L59" i="26"/>
  <c r="L65" i="26"/>
  <c r="L60" i="26" l="1"/>
  <c r="L61" i="26" s="1"/>
  <c r="N59" i="26"/>
  <c r="L66" i="26"/>
  <c r="L67" i="26" s="1"/>
  <c r="N65" i="26"/>
  <c r="O65" i="26" s="1"/>
  <c r="H66" i="26"/>
  <c r="H67" i="26" s="1"/>
  <c r="H60" i="26"/>
  <c r="H61" i="26" s="1"/>
  <c r="O59" i="26"/>
  <c r="H69" i="26" l="1"/>
  <c r="G51" i="24" s="1"/>
  <c r="G31" i="28" s="1"/>
  <c r="L69" i="26"/>
  <c r="N67" i="26"/>
  <c r="O67" i="26" s="1"/>
  <c r="L62" i="26"/>
  <c r="N61" i="26"/>
  <c r="O61" i="26" s="1"/>
  <c r="N66" i="26"/>
  <c r="O66" i="26" s="1"/>
  <c r="H62" i="26"/>
  <c r="N60" i="26"/>
  <c r="O60" i="26" s="1"/>
  <c r="N69" i="26" l="1"/>
  <c r="H51" i="24"/>
  <c r="H31" i="28" s="1"/>
  <c r="N62" i="26"/>
  <c r="O62" i="26" s="1"/>
  <c r="H63" i="26"/>
  <c r="L63" i="26"/>
  <c r="O69" i="26"/>
  <c r="N63" i="26" l="1"/>
  <c r="O63" i="26"/>
  <c r="J53" i="17" l="1"/>
  <c r="J52" i="17"/>
  <c r="J51" i="17"/>
  <c r="J50" i="17"/>
  <c r="J49" i="17"/>
  <c r="J53" i="16" l="1"/>
  <c r="J52" i="16"/>
  <c r="J51" i="16"/>
  <c r="J50" i="16"/>
  <c r="J49" i="16"/>
  <c r="J72" i="16"/>
  <c r="J52" i="15"/>
  <c r="J51" i="15"/>
  <c r="J50" i="15"/>
  <c r="J49" i="15"/>
  <c r="J52" i="14"/>
  <c r="J51" i="14"/>
  <c r="J50" i="14"/>
  <c r="J49" i="14"/>
  <c r="J47" i="14"/>
  <c r="J46" i="14"/>
  <c r="J52" i="23"/>
  <c r="J51" i="23"/>
  <c r="J50" i="23"/>
  <c r="J49" i="23"/>
  <c r="J47" i="23"/>
  <c r="J46" i="23"/>
  <c r="J52" i="25"/>
  <c r="J51" i="25"/>
  <c r="J50" i="25"/>
  <c r="J49" i="25"/>
  <c r="J47" i="25"/>
  <c r="J46" i="25"/>
  <c r="J42" i="14"/>
  <c r="J41" i="14"/>
  <c r="J38" i="14"/>
  <c r="J27" i="14"/>
  <c r="J26" i="14"/>
  <c r="J25" i="14"/>
  <c r="J21" i="14"/>
  <c r="J42" i="23"/>
  <c r="J41" i="23"/>
  <c r="J38" i="23"/>
  <c r="J27" i="23"/>
  <c r="J26" i="23"/>
  <c r="J25" i="23"/>
  <c r="J21" i="23"/>
  <c r="J42" i="25"/>
  <c r="J41" i="25"/>
  <c r="J38" i="25"/>
  <c r="J27" i="25"/>
  <c r="J26" i="25"/>
  <c r="J25" i="25"/>
  <c r="J21" i="25"/>
  <c r="J21" i="19"/>
  <c r="J25" i="19"/>
  <c r="J26" i="19"/>
  <c r="J27" i="19"/>
  <c r="J38" i="19"/>
  <c r="J41" i="19"/>
  <c r="J42" i="19"/>
  <c r="F53" i="14"/>
  <c r="F52" i="14"/>
  <c r="F51" i="14"/>
  <c r="F50" i="14"/>
  <c r="F49" i="14"/>
  <c r="F47" i="14"/>
  <c r="F46" i="14"/>
  <c r="F53" i="23"/>
  <c r="F52" i="23"/>
  <c r="F51" i="23"/>
  <c r="F50" i="23"/>
  <c r="F49" i="23"/>
  <c r="F47" i="23"/>
  <c r="F46" i="23"/>
  <c r="F38" i="25"/>
  <c r="F41" i="25"/>
  <c r="F42" i="25"/>
  <c r="F43" i="25"/>
  <c r="F42" i="14"/>
  <c r="F41" i="14"/>
  <c r="F38" i="14"/>
  <c r="F27" i="14"/>
  <c r="F25" i="14"/>
  <c r="F21" i="14"/>
  <c r="F42" i="23"/>
  <c r="F41" i="23"/>
  <c r="F38" i="23"/>
  <c r="F27" i="23"/>
  <c r="F25" i="23"/>
  <c r="F21" i="23"/>
  <c r="F27" i="25"/>
  <c r="F25" i="25"/>
  <c r="F21" i="25"/>
  <c r="J52" i="19"/>
  <c r="J51" i="19"/>
  <c r="J50" i="19"/>
  <c r="J49" i="19"/>
  <c r="J47" i="19"/>
  <c r="J46" i="19"/>
  <c r="F53" i="19"/>
  <c r="F52" i="19"/>
  <c r="F51" i="19"/>
  <c r="F50" i="19"/>
  <c r="F49" i="19"/>
  <c r="F47" i="19"/>
  <c r="F46" i="19"/>
  <c r="F42" i="19"/>
  <c r="F41" i="19"/>
  <c r="F38" i="19"/>
  <c r="F27" i="19"/>
  <c r="F25" i="19"/>
  <c r="F21" i="19"/>
  <c r="J72" i="17" l="1"/>
  <c r="J72" i="14"/>
  <c r="J72" i="23"/>
  <c r="J72" i="25"/>
  <c r="J72" i="19"/>
  <c r="J72" i="13"/>
  <c r="J73" i="12"/>
  <c r="J73" i="11"/>
  <c r="J73" i="10"/>
  <c r="J73" i="9"/>
  <c r="J73" i="8"/>
  <c r="J52" i="13" l="1"/>
  <c r="J51" i="13"/>
  <c r="J50" i="13"/>
  <c r="J49" i="13"/>
  <c r="J53" i="13"/>
  <c r="J53" i="25" l="1"/>
  <c r="J53" i="23"/>
  <c r="J53" i="14"/>
  <c r="J53" i="19"/>
  <c r="K57" i="25"/>
  <c r="L57" i="25" s="1"/>
  <c r="H57" i="25"/>
  <c r="O57" i="25" s="1"/>
  <c r="K56" i="25"/>
  <c r="L56" i="25" s="1"/>
  <c r="H56" i="25"/>
  <c r="O56" i="25" s="1"/>
  <c r="L55" i="25"/>
  <c r="H55" i="25"/>
  <c r="O55" i="25" s="1"/>
  <c r="L54" i="25"/>
  <c r="H54" i="25"/>
  <c r="O54" i="25" s="1"/>
  <c r="G53" i="25"/>
  <c r="K53" i="25" s="1"/>
  <c r="L53" i="25" s="1"/>
  <c r="L52" i="25"/>
  <c r="N52" i="25" s="1"/>
  <c r="K52" i="25"/>
  <c r="G52" i="25"/>
  <c r="H52" i="25" s="1"/>
  <c r="L51" i="25"/>
  <c r="H51" i="25"/>
  <c r="K49" i="25"/>
  <c r="K50" i="25" s="1"/>
  <c r="L50" i="25" s="1"/>
  <c r="G49" i="25"/>
  <c r="G50" i="25" s="1"/>
  <c r="H50" i="25" s="1"/>
  <c r="K47" i="25"/>
  <c r="L47" i="25" s="1"/>
  <c r="G47" i="25"/>
  <c r="H47" i="25" s="1"/>
  <c r="L44" i="25"/>
  <c r="H44" i="25"/>
  <c r="K43" i="25"/>
  <c r="J43" i="25"/>
  <c r="G43" i="25"/>
  <c r="H43" i="25" s="1"/>
  <c r="K42" i="25"/>
  <c r="L42" i="25"/>
  <c r="G42" i="25"/>
  <c r="H42" i="25" s="1"/>
  <c r="K41" i="25"/>
  <c r="L41" i="25" s="1"/>
  <c r="G41" i="25"/>
  <c r="H41" i="25" s="1"/>
  <c r="K40" i="25"/>
  <c r="L40" i="25" s="1"/>
  <c r="G40" i="25"/>
  <c r="H40" i="25" s="1"/>
  <c r="O40" i="25" s="1"/>
  <c r="K39" i="25"/>
  <c r="L39" i="25" s="1"/>
  <c r="G39" i="25"/>
  <c r="H39" i="25" s="1"/>
  <c r="L38" i="25"/>
  <c r="K38" i="25"/>
  <c r="K36" i="25"/>
  <c r="L36" i="25" s="1"/>
  <c r="G36" i="25"/>
  <c r="H36" i="25" s="1"/>
  <c r="O36" i="25" s="1"/>
  <c r="K35" i="25"/>
  <c r="L35" i="25" s="1"/>
  <c r="G35" i="25"/>
  <c r="H35" i="25" s="1"/>
  <c r="O35" i="25" s="1"/>
  <c r="K34" i="25"/>
  <c r="L34" i="25" s="1"/>
  <c r="G34" i="25"/>
  <c r="H34" i="25" s="1"/>
  <c r="O34" i="25" s="1"/>
  <c r="K33" i="25"/>
  <c r="L33" i="25" s="1"/>
  <c r="G33" i="25"/>
  <c r="H33" i="25" s="1"/>
  <c r="O33" i="25" s="1"/>
  <c r="L32" i="25"/>
  <c r="K32" i="25"/>
  <c r="G32" i="25"/>
  <c r="H32" i="25" s="1"/>
  <c r="O32" i="25" s="1"/>
  <c r="K31" i="25"/>
  <c r="L31" i="25" s="1"/>
  <c r="G31" i="25"/>
  <c r="H31" i="25" s="1"/>
  <c r="O31" i="25" s="1"/>
  <c r="K30" i="25"/>
  <c r="L30" i="25" s="1"/>
  <c r="G30" i="25"/>
  <c r="H30" i="25" s="1"/>
  <c r="O30" i="25" s="1"/>
  <c r="K29" i="25"/>
  <c r="L29" i="25" s="1"/>
  <c r="N29" i="25" s="1"/>
  <c r="G29" i="25"/>
  <c r="H29" i="25" s="1"/>
  <c r="O29" i="25" s="1"/>
  <c r="L28" i="25"/>
  <c r="K28" i="25"/>
  <c r="G28" i="25"/>
  <c r="H28" i="25" s="1"/>
  <c r="O28" i="25" s="1"/>
  <c r="K27" i="25"/>
  <c r="L27" i="25" s="1"/>
  <c r="G27" i="25"/>
  <c r="G38" i="25" s="1"/>
  <c r="H38" i="25" s="1"/>
  <c r="K26" i="25"/>
  <c r="L26" i="25" s="1"/>
  <c r="G26" i="25"/>
  <c r="H26" i="25" s="1"/>
  <c r="O26" i="25" s="1"/>
  <c r="K25" i="25"/>
  <c r="L25" i="25" s="1"/>
  <c r="G25" i="25"/>
  <c r="H25" i="25" s="1"/>
  <c r="L24" i="25"/>
  <c r="N24" i="25" s="1"/>
  <c r="H24" i="25"/>
  <c r="O24" i="25" s="1"/>
  <c r="L23" i="25"/>
  <c r="H23" i="25"/>
  <c r="O23" i="25" s="1"/>
  <c r="L22" i="25"/>
  <c r="H22" i="25"/>
  <c r="O22" i="25" s="1"/>
  <c r="L21" i="25"/>
  <c r="H21" i="25"/>
  <c r="N56" i="25" l="1"/>
  <c r="N57" i="25"/>
  <c r="N55" i="25"/>
  <c r="N54" i="25"/>
  <c r="N50" i="25"/>
  <c r="N51" i="25"/>
  <c r="O51" i="25" s="1"/>
  <c r="N28" i="25"/>
  <c r="N32" i="25"/>
  <c r="N23" i="25"/>
  <c r="N22" i="25"/>
  <c r="N42" i="25"/>
  <c r="O42" i="25" s="1"/>
  <c r="N44" i="25"/>
  <c r="N41" i="25"/>
  <c r="N47" i="25"/>
  <c r="O47" i="25" s="1"/>
  <c r="H46" i="25"/>
  <c r="N26" i="25"/>
  <c r="N40" i="25"/>
  <c r="L46" i="25"/>
  <c r="L49" i="25"/>
  <c r="H53" i="25"/>
  <c r="L43" i="25"/>
  <c r="N43" i="25" s="1"/>
  <c r="O43" i="25" s="1"/>
  <c r="N31" i="25"/>
  <c r="N35" i="25"/>
  <c r="N53" i="25"/>
  <c r="O53" i="25" s="1"/>
  <c r="N33" i="25"/>
  <c r="N36" i="25"/>
  <c r="N30" i="25"/>
  <c r="N34" i="25"/>
  <c r="O41" i="25"/>
  <c r="L37" i="25"/>
  <c r="N21" i="25"/>
  <c r="O21" i="25" s="1"/>
  <c r="N25" i="25"/>
  <c r="O25" i="25" s="1"/>
  <c r="N38" i="25"/>
  <c r="O38" i="25" s="1"/>
  <c r="O52" i="25"/>
  <c r="N39" i="25"/>
  <c r="O39" i="25" s="1"/>
  <c r="O50" i="25"/>
  <c r="H49" i="25"/>
  <c r="H27" i="25"/>
  <c r="N46" i="25" l="1"/>
  <c r="O46" i="25" s="1"/>
  <c r="H37" i="25"/>
  <c r="H45" i="25" s="1"/>
  <c r="N49" i="25"/>
  <c r="O49" i="25" s="1"/>
  <c r="L45" i="25"/>
  <c r="N27" i="25"/>
  <c r="O27" i="25" s="1"/>
  <c r="N37" i="25" l="1"/>
  <c r="O37" i="25"/>
  <c r="K36" i="24" s="1"/>
  <c r="K19" i="28" s="1"/>
  <c r="H48" i="25"/>
  <c r="L48" i="25"/>
  <c r="N45" i="25"/>
  <c r="O45" i="25" s="1"/>
  <c r="N48" i="25" l="1"/>
  <c r="O48" i="25" s="1"/>
  <c r="L59" i="25"/>
  <c r="L65" i="25"/>
  <c r="H65" i="25"/>
  <c r="H59" i="25"/>
  <c r="H60" i="25" l="1"/>
  <c r="N65" i="25"/>
  <c r="L66" i="25"/>
  <c r="L60" i="25"/>
  <c r="N59" i="25"/>
  <c r="O59" i="25" s="1"/>
  <c r="O65" i="25"/>
  <c r="H66" i="25"/>
  <c r="N60" i="25" l="1"/>
  <c r="O60" i="25"/>
  <c r="H61" i="25"/>
  <c r="N66" i="25"/>
  <c r="O66" i="25" s="1"/>
  <c r="L67" i="25"/>
  <c r="H67" i="25"/>
  <c r="H62" i="25"/>
  <c r="L61" i="25"/>
  <c r="L62" i="25" l="1"/>
  <c r="N62" i="25" s="1"/>
  <c r="O62" i="25" s="1"/>
  <c r="N61" i="25"/>
  <c r="O61" i="25" s="1"/>
  <c r="H69" i="25"/>
  <c r="G36" i="24" s="1"/>
  <c r="G19" i="28" s="1"/>
  <c r="O68" i="25"/>
  <c r="H63" i="25"/>
  <c r="N67" i="25"/>
  <c r="O67" i="25" s="1"/>
  <c r="L69" i="25"/>
  <c r="H36" i="24" s="1"/>
  <c r="H19" i="28" s="1"/>
  <c r="I36" i="24" l="1"/>
  <c r="L63" i="25"/>
  <c r="N63" i="25" s="1"/>
  <c r="O63" i="25" s="1"/>
  <c r="N68" i="25"/>
  <c r="N69" i="25"/>
  <c r="O69" i="25" s="1"/>
  <c r="J36" i="24" l="1"/>
  <c r="J19" i="28" s="1"/>
  <c r="I19" i="28"/>
  <c r="J58" i="12"/>
  <c r="J57" i="12"/>
  <c r="J56" i="12"/>
  <c r="J55" i="12"/>
  <c r="J54" i="12"/>
  <c r="J53" i="12"/>
  <c r="J52" i="12"/>
  <c r="J51" i="12"/>
  <c r="J50" i="12"/>
  <c r="J48" i="12"/>
  <c r="J47" i="12"/>
  <c r="J45" i="12"/>
  <c r="J58" i="11"/>
  <c r="J57" i="11"/>
  <c r="J56" i="11"/>
  <c r="J55" i="11"/>
  <c r="J54" i="11"/>
  <c r="J53" i="11"/>
  <c r="J52" i="11"/>
  <c r="J51" i="11"/>
  <c r="J50" i="11"/>
  <c r="J48" i="11"/>
  <c r="J47" i="11"/>
  <c r="J45" i="11"/>
  <c r="J58" i="10"/>
  <c r="J57" i="10"/>
  <c r="J56" i="10"/>
  <c r="J55" i="10"/>
  <c r="J54" i="10"/>
  <c r="J53" i="10"/>
  <c r="J52" i="10"/>
  <c r="J51" i="10"/>
  <c r="J50" i="10"/>
  <c r="J48" i="10"/>
  <c r="J47" i="10"/>
  <c r="J45" i="10"/>
  <c r="J43" i="12"/>
  <c r="J39" i="12"/>
  <c r="J27" i="12"/>
  <c r="J26" i="12"/>
  <c r="J25" i="12"/>
  <c r="J24" i="12"/>
  <c r="J21" i="12"/>
  <c r="J43" i="11"/>
  <c r="J39" i="11"/>
  <c r="J27" i="11"/>
  <c r="J26" i="11"/>
  <c r="J25" i="11"/>
  <c r="J24" i="11"/>
  <c r="J21" i="11"/>
  <c r="J43" i="10"/>
  <c r="J39" i="10"/>
  <c r="J27" i="10"/>
  <c r="J26" i="10"/>
  <c r="J25" i="10"/>
  <c r="J24" i="10"/>
  <c r="J21" i="10"/>
  <c r="J58" i="9"/>
  <c r="J57" i="9"/>
  <c r="J56" i="9"/>
  <c r="J55" i="9"/>
  <c r="J54" i="9"/>
  <c r="J53" i="9"/>
  <c r="J52" i="9"/>
  <c r="J51" i="9"/>
  <c r="J50" i="9"/>
  <c r="J48" i="9"/>
  <c r="J47" i="9"/>
  <c r="J45" i="9"/>
  <c r="J43" i="9"/>
  <c r="J39" i="9"/>
  <c r="J27" i="9"/>
  <c r="J26" i="9"/>
  <c r="J25" i="9"/>
  <c r="J24" i="9"/>
  <c r="J21" i="9"/>
  <c r="F58" i="12"/>
  <c r="F57" i="12"/>
  <c r="F56" i="12"/>
  <c r="F55" i="12"/>
  <c r="F54" i="12"/>
  <c r="F53" i="12"/>
  <c r="F52" i="12"/>
  <c r="F51" i="12"/>
  <c r="F50" i="12"/>
  <c r="F48" i="12"/>
  <c r="F47" i="12"/>
  <c r="F45" i="12"/>
  <c r="F58" i="11"/>
  <c r="F57" i="11"/>
  <c r="F56" i="11"/>
  <c r="F55" i="11"/>
  <c r="F54" i="11"/>
  <c r="F53" i="11"/>
  <c r="F52" i="11"/>
  <c r="F51" i="11"/>
  <c r="F50" i="11"/>
  <c r="F48" i="11"/>
  <c r="F47" i="11"/>
  <c r="F45" i="11"/>
  <c r="F58" i="10"/>
  <c r="F57" i="10"/>
  <c r="F56" i="10"/>
  <c r="F55" i="10"/>
  <c r="F54" i="10"/>
  <c r="F53" i="10"/>
  <c r="F52" i="10"/>
  <c r="F51" i="10"/>
  <c r="F50" i="10"/>
  <c r="F48" i="10"/>
  <c r="F47" i="10"/>
  <c r="F45" i="10"/>
  <c r="F43" i="12"/>
  <c r="F39" i="12"/>
  <c r="F27" i="12"/>
  <c r="F25" i="12"/>
  <c r="F23" i="12"/>
  <c r="F21" i="12"/>
  <c r="F43" i="11"/>
  <c r="F39" i="11"/>
  <c r="F27" i="11"/>
  <c r="F25" i="11"/>
  <c r="F23" i="11"/>
  <c r="F21" i="11"/>
  <c r="F43" i="10"/>
  <c r="F39" i="10"/>
  <c r="F27" i="10"/>
  <c r="F25" i="10"/>
  <c r="F23" i="10"/>
  <c r="F21" i="10"/>
  <c r="F58" i="9"/>
  <c r="F57" i="9"/>
  <c r="F56" i="9"/>
  <c r="F55" i="9"/>
  <c r="F54" i="9"/>
  <c r="F53" i="9"/>
  <c r="F52" i="9"/>
  <c r="F51" i="9"/>
  <c r="F50" i="9"/>
  <c r="F48" i="9"/>
  <c r="F47" i="9"/>
  <c r="F45" i="9"/>
  <c r="F43" i="9"/>
  <c r="F39" i="9"/>
  <c r="F27" i="9"/>
  <c r="F25" i="9"/>
  <c r="F23" i="9"/>
  <c r="F21" i="9"/>
  <c r="J58" i="8"/>
  <c r="J54" i="8"/>
  <c r="J55" i="8"/>
  <c r="J56" i="8"/>
  <c r="J57" i="8"/>
  <c r="J53" i="8"/>
  <c r="J52" i="8"/>
  <c r="J51" i="8"/>
  <c r="J50" i="8"/>
  <c r="F55" i="8"/>
  <c r="F56" i="8"/>
  <c r="F57" i="8"/>
  <c r="F58" i="8"/>
  <c r="F54" i="8"/>
  <c r="J58" i="7" l="1"/>
  <c r="J57" i="7"/>
  <c r="J56" i="7"/>
  <c r="J55" i="7"/>
  <c r="J54" i="7"/>
  <c r="J53" i="7"/>
  <c r="J52" i="7"/>
  <c r="J51" i="7"/>
  <c r="J50" i="7"/>
  <c r="J48" i="7"/>
  <c r="J47" i="7"/>
  <c r="J45" i="7"/>
  <c r="J58" i="6"/>
  <c r="J57" i="6"/>
  <c r="J56" i="6"/>
  <c r="J55" i="6"/>
  <c r="J54" i="6"/>
  <c r="J53" i="6"/>
  <c r="J52" i="6"/>
  <c r="J51" i="6"/>
  <c r="J50" i="6"/>
  <c r="J48" i="6"/>
  <c r="J47" i="6"/>
  <c r="J45" i="6"/>
  <c r="J58" i="5"/>
  <c r="J57" i="5"/>
  <c r="J56" i="5"/>
  <c r="J55" i="5"/>
  <c r="J54" i="5"/>
  <c r="J53" i="5"/>
  <c r="J52" i="5"/>
  <c r="J51" i="5"/>
  <c r="J50" i="5"/>
  <c r="J48" i="5"/>
  <c r="J47" i="5"/>
  <c r="J45" i="5"/>
  <c r="J58" i="4"/>
  <c r="J57" i="4"/>
  <c r="J56" i="4"/>
  <c r="J55" i="4"/>
  <c r="J54" i="4"/>
  <c r="J53" i="4"/>
  <c r="J52" i="4"/>
  <c r="J51" i="4"/>
  <c r="J50" i="4"/>
  <c r="J48" i="4"/>
  <c r="J47" i="4"/>
  <c r="J45" i="4"/>
  <c r="J43" i="7"/>
  <c r="J39" i="7"/>
  <c r="J27" i="7"/>
  <c r="J26" i="7"/>
  <c r="J25" i="7"/>
  <c r="J24" i="7"/>
  <c r="J21" i="7"/>
  <c r="J43" i="6"/>
  <c r="J39" i="6"/>
  <c r="J27" i="6"/>
  <c r="J26" i="6"/>
  <c r="J25" i="6"/>
  <c r="J24" i="6"/>
  <c r="J21" i="6"/>
  <c r="J43" i="5"/>
  <c r="J39" i="5"/>
  <c r="J27" i="5"/>
  <c r="J26" i="5"/>
  <c r="J25" i="5"/>
  <c r="J24" i="5"/>
  <c r="J21" i="5"/>
  <c r="J43" i="4"/>
  <c r="J39" i="4"/>
  <c r="J27" i="4"/>
  <c r="J26" i="4"/>
  <c r="J25" i="4"/>
  <c r="J24" i="4"/>
  <c r="J21" i="4"/>
  <c r="J58" i="3"/>
  <c r="J57" i="3"/>
  <c r="J56" i="3"/>
  <c r="J55" i="3"/>
  <c r="J54" i="3"/>
  <c r="J53" i="3"/>
  <c r="J52" i="3"/>
  <c r="J51" i="3"/>
  <c r="J50" i="3"/>
  <c r="J48" i="3"/>
  <c r="J47" i="3"/>
  <c r="J45" i="3"/>
  <c r="J43" i="3"/>
  <c r="J39" i="3"/>
  <c r="J27" i="3"/>
  <c r="J26" i="3"/>
  <c r="J25" i="3"/>
  <c r="J24" i="3"/>
  <c r="J21" i="3"/>
  <c r="J58" i="2"/>
  <c r="J57" i="2"/>
  <c r="J56" i="2"/>
  <c r="J55" i="2"/>
  <c r="J54" i="2"/>
  <c r="J53" i="2"/>
  <c r="J52" i="2"/>
  <c r="J51" i="2"/>
  <c r="J50" i="2"/>
  <c r="J48" i="2"/>
  <c r="J47" i="2"/>
  <c r="J45" i="2"/>
  <c r="J43" i="2"/>
  <c r="J39" i="2"/>
  <c r="J27" i="2"/>
  <c r="J26" i="2"/>
  <c r="J25" i="2"/>
  <c r="J24" i="2"/>
  <c r="J21" i="2"/>
  <c r="J73" i="7" l="1"/>
  <c r="F73" i="7"/>
  <c r="J73" i="6"/>
  <c r="F73" i="6"/>
  <c r="J73" i="5"/>
  <c r="F73" i="5"/>
  <c r="J73" i="4"/>
  <c r="F73" i="4"/>
  <c r="J73" i="3"/>
  <c r="F73" i="3"/>
  <c r="J73" i="2"/>
  <c r="F73" i="2"/>
  <c r="F58" i="7"/>
  <c r="F57" i="7"/>
  <c r="F56" i="7"/>
  <c r="F55" i="7"/>
  <c r="F54" i="7"/>
  <c r="F53" i="7"/>
  <c r="F52" i="7"/>
  <c r="F51" i="7"/>
  <c r="F50" i="7"/>
  <c r="F48" i="7"/>
  <c r="F47" i="7"/>
  <c r="F58" i="6"/>
  <c r="F57" i="6"/>
  <c r="F56" i="6"/>
  <c r="F55" i="6"/>
  <c r="F54" i="6"/>
  <c r="F53" i="6"/>
  <c r="F52" i="6"/>
  <c r="F51" i="6"/>
  <c r="F50" i="6"/>
  <c r="F48" i="6"/>
  <c r="F47" i="6"/>
  <c r="F58" i="5"/>
  <c r="F57" i="5"/>
  <c r="F56" i="5"/>
  <c r="F55" i="5"/>
  <c r="F54" i="5"/>
  <c r="F53" i="5"/>
  <c r="F52" i="5"/>
  <c r="F51" i="5"/>
  <c r="F50" i="5"/>
  <c r="F48" i="5"/>
  <c r="F47" i="5"/>
  <c r="F58" i="4"/>
  <c r="F57" i="4"/>
  <c r="F56" i="4"/>
  <c r="F55" i="4"/>
  <c r="F54" i="4"/>
  <c r="F53" i="4"/>
  <c r="F52" i="4"/>
  <c r="F51" i="4"/>
  <c r="F50" i="4"/>
  <c r="F48" i="4"/>
  <c r="F47" i="4"/>
  <c r="F58" i="3"/>
  <c r="F57" i="3"/>
  <c r="F56" i="3"/>
  <c r="F55" i="3"/>
  <c r="F54" i="3"/>
  <c r="F53" i="3"/>
  <c r="F52" i="3"/>
  <c r="F51" i="3"/>
  <c r="F50" i="3"/>
  <c r="F48" i="3"/>
  <c r="F47" i="3"/>
  <c r="F45" i="7"/>
  <c r="F45" i="6"/>
  <c r="F45" i="5"/>
  <c r="F45" i="4"/>
  <c r="F45" i="3"/>
  <c r="F43" i="7"/>
  <c r="F39" i="7"/>
  <c r="F43" i="6"/>
  <c r="F39" i="6"/>
  <c r="F43" i="5"/>
  <c r="F39" i="5"/>
  <c r="F43" i="4"/>
  <c r="F39" i="4"/>
  <c r="F43" i="3"/>
  <c r="F39" i="3"/>
  <c r="F27" i="7"/>
  <c r="F26" i="7"/>
  <c r="F25" i="7"/>
  <c r="F24" i="7"/>
  <c r="F23" i="7"/>
  <c r="F22" i="7"/>
  <c r="F21" i="7"/>
  <c r="F27" i="6"/>
  <c r="F26" i="6"/>
  <c r="F25" i="6"/>
  <c r="F24" i="6"/>
  <c r="F23" i="6"/>
  <c r="F22" i="6"/>
  <c r="F21" i="6"/>
  <c r="F27" i="5"/>
  <c r="F26" i="5"/>
  <c r="F25" i="5"/>
  <c r="F24" i="5"/>
  <c r="F23" i="5"/>
  <c r="F22" i="5"/>
  <c r="F21" i="5"/>
  <c r="F27" i="4"/>
  <c r="F26" i="4"/>
  <c r="F25" i="4"/>
  <c r="F24" i="4"/>
  <c r="F23" i="4"/>
  <c r="F22" i="4"/>
  <c r="F21" i="4"/>
  <c r="F27" i="3"/>
  <c r="F26" i="3"/>
  <c r="F25" i="3"/>
  <c r="F24" i="3"/>
  <c r="F23" i="3"/>
  <c r="F22" i="3"/>
  <c r="F21" i="3"/>
  <c r="F58" i="2"/>
  <c r="F57" i="2"/>
  <c r="F56" i="2"/>
  <c r="F55" i="2"/>
  <c r="F54" i="2"/>
  <c r="F53" i="2"/>
  <c r="F52" i="2"/>
  <c r="F51" i="2"/>
  <c r="F50" i="2"/>
  <c r="F48" i="2"/>
  <c r="F47" i="2"/>
  <c r="F45" i="2"/>
  <c r="F43" i="2"/>
  <c r="F39" i="2"/>
  <c r="F27" i="2"/>
  <c r="F26" i="2"/>
  <c r="F25" i="2"/>
  <c r="F24" i="2"/>
  <c r="F23" i="2"/>
  <c r="F22" i="2"/>
  <c r="F21" i="2"/>
  <c r="J58" i="1"/>
  <c r="J57" i="1"/>
  <c r="J56" i="1"/>
  <c r="J55" i="1"/>
  <c r="J54" i="1"/>
  <c r="H27" i="17" l="1"/>
  <c r="H21" i="17"/>
  <c r="H27" i="16"/>
  <c r="H21" i="16"/>
  <c r="H21" i="15"/>
  <c r="H21" i="23"/>
  <c r="H27" i="14"/>
  <c r="H21" i="14"/>
  <c r="H27" i="19"/>
  <c r="H21" i="19"/>
  <c r="H27" i="13"/>
  <c r="H21" i="13"/>
  <c r="H27" i="12"/>
  <c r="H21" i="12"/>
  <c r="H27" i="11"/>
  <c r="H21" i="11"/>
  <c r="H27" i="10"/>
  <c r="H21" i="10"/>
  <c r="H27" i="9"/>
  <c r="H21" i="9"/>
  <c r="H27" i="8"/>
  <c r="H21" i="8"/>
  <c r="H27" i="7"/>
  <c r="H21" i="7"/>
  <c r="H27" i="6"/>
  <c r="H21" i="6"/>
  <c r="H27" i="5"/>
  <c r="H21" i="5"/>
  <c r="H27" i="4"/>
  <c r="H21" i="4"/>
  <c r="H27" i="3"/>
  <c r="H21" i="3"/>
  <c r="H27" i="2"/>
  <c r="H21" i="2"/>
  <c r="H27" i="1"/>
  <c r="H21" i="1"/>
  <c r="L41" i="17"/>
  <c r="L38" i="17"/>
  <c r="L41" i="16"/>
  <c r="L38" i="16"/>
  <c r="L26" i="16"/>
  <c r="L41" i="14"/>
  <c r="L38" i="14"/>
  <c r="L26" i="14"/>
  <c r="L41" i="19"/>
  <c r="L26" i="19"/>
  <c r="N26" i="19" s="1"/>
  <c r="L41" i="13"/>
  <c r="L38" i="13"/>
  <c r="L26" i="13"/>
  <c r="L39" i="12"/>
  <c r="L39" i="11"/>
  <c r="L39" i="10"/>
  <c r="L39" i="8"/>
  <c r="L26" i="12"/>
  <c r="L26" i="11"/>
  <c r="L39" i="9"/>
  <c r="L26" i="9"/>
  <c r="N26" i="9" s="1"/>
  <c r="L39" i="7"/>
  <c r="L39" i="6"/>
  <c r="L39" i="4"/>
  <c r="L39" i="3"/>
  <c r="L26" i="7"/>
  <c r="L26" i="6"/>
  <c r="L26" i="5"/>
  <c r="L39" i="2"/>
  <c r="L26" i="2"/>
  <c r="L39" i="1"/>
  <c r="L26" i="1"/>
  <c r="K25" i="17"/>
  <c r="L25" i="17"/>
  <c r="K26" i="17"/>
  <c r="G25" i="17"/>
  <c r="H25" i="17"/>
  <c r="G26" i="17"/>
  <c r="K27" i="17"/>
  <c r="G27" i="17"/>
  <c r="K25" i="16"/>
  <c r="L25" i="16"/>
  <c r="K26" i="16"/>
  <c r="G25" i="16"/>
  <c r="H25" i="16"/>
  <c r="N25" i="16" s="1"/>
  <c r="O25" i="16" s="1"/>
  <c r="G26" i="16"/>
  <c r="K27" i="16"/>
  <c r="G27" i="16"/>
  <c r="K25" i="15"/>
  <c r="K26" i="15"/>
  <c r="G25" i="15"/>
  <c r="H25" i="15" s="1"/>
  <c r="G26" i="15"/>
  <c r="H26" i="15" s="1"/>
  <c r="O26" i="15" s="1"/>
  <c r="K27" i="15"/>
  <c r="G27" i="15"/>
  <c r="L46" i="14"/>
  <c r="G47" i="14"/>
  <c r="H47" i="14" s="1"/>
  <c r="K25" i="23"/>
  <c r="L25" i="23" s="1"/>
  <c r="K26" i="23"/>
  <c r="K27" i="23"/>
  <c r="G25" i="23"/>
  <c r="G26" i="23"/>
  <c r="G27" i="23"/>
  <c r="G38" i="23" s="1"/>
  <c r="H38" i="23" s="1"/>
  <c r="K25" i="14"/>
  <c r="K26" i="14"/>
  <c r="K27" i="14"/>
  <c r="G25" i="14"/>
  <c r="G26" i="14"/>
  <c r="G27" i="14"/>
  <c r="K25" i="19"/>
  <c r="K26" i="19"/>
  <c r="K27" i="19"/>
  <c r="G25" i="19"/>
  <c r="H25" i="19"/>
  <c r="G26" i="19"/>
  <c r="G27" i="19"/>
  <c r="K25" i="13"/>
  <c r="K26" i="13"/>
  <c r="K27" i="13"/>
  <c r="H25" i="13"/>
  <c r="G26" i="13"/>
  <c r="G27" i="13"/>
  <c r="K25" i="12"/>
  <c r="L25" i="12"/>
  <c r="K26" i="12"/>
  <c r="G25" i="12"/>
  <c r="H25" i="12"/>
  <c r="G26" i="12"/>
  <c r="K25" i="11"/>
  <c r="L25" i="11"/>
  <c r="K26" i="11"/>
  <c r="H25" i="11"/>
  <c r="G25" i="11"/>
  <c r="G26" i="11"/>
  <c r="K25" i="10"/>
  <c r="L25" i="10"/>
  <c r="K26" i="10"/>
  <c r="L26" i="10"/>
  <c r="G25" i="10"/>
  <c r="H25" i="10"/>
  <c r="G26" i="10"/>
  <c r="K25" i="9"/>
  <c r="L25" i="9"/>
  <c r="K26" i="9"/>
  <c r="G25" i="9"/>
  <c r="H25" i="9"/>
  <c r="G26" i="9"/>
  <c r="L25" i="8"/>
  <c r="K25" i="8"/>
  <c r="K26" i="8"/>
  <c r="H25" i="8"/>
  <c r="G25" i="8"/>
  <c r="G26" i="8"/>
  <c r="H26" i="8"/>
  <c r="O26" i="8"/>
  <c r="K25" i="7"/>
  <c r="L25" i="7"/>
  <c r="K26" i="7"/>
  <c r="G25" i="7"/>
  <c r="H25" i="7"/>
  <c r="G26" i="7"/>
  <c r="K25" i="6"/>
  <c r="L25" i="6"/>
  <c r="K26" i="6"/>
  <c r="G25" i="6"/>
  <c r="H25" i="6"/>
  <c r="G26" i="6"/>
  <c r="H26" i="6"/>
  <c r="O26" i="6" s="1"/>
  <c r="K25" i="5"/>
  <c r="L25" i="5"/>
  <c r="K26" i="5"/>
  <c r="G25" i="5"/>
  <c r="H25" i="5"/>
  <c r="G26" i="5"/>
  <c r="K25" i="1"/>
  <c r="L25" i="1"/>
  <c r="K26" i="1"/>
  <c r="G25" i="1"/>
  <c r="H25" i="1"/>
  <c r="G26" i="1"/>
  <c r="H26" i="1"/>
  <c r="O26" i="1" s="1"/>
  <c r="L25" i="2"/>
  <c r="K25" i="2"/>
  <c r="K26" i="2"/>
  <c r="G25" i="2"/>
  <c r="H25" i="2"/>
  <c r="G26" i="2"/>
  <c r="G25" i="4"/>
  <c r="G26" i="4"/>
  <c r="H26" i="4"/>
  <c r="O26" i="4" s="1"/>
  <c r="K25" i="4"/>
  <c r="L25" i="4"/>
  <c r="K26" i="4"/>
  <c r="K25" i="3"/>
  <c r="L25" i="3"/>
  <c r="K26" i="3"/>
  <c r="G25" i="3"/>
  <c r="H25" i="3"/>
  <c r="G26" i="3"/>
  <c r="H26" i="3"/>
  <c r="O26" i="3"/>
  <c r="H25" i="4"/>
  <c r="K49" i="14"/>
  <c r="G49" i="14"/>
  <c r="G49" i="23"/>
  <c r="H49" i="23" s="1"/>
  <c r="K49" i="23"/>
  <c r="K49" i="16"/>
  <c r="G49" i="16"/>
  <c r="K49" i="15"/>
  <c r="K50" i="15" s="1"/>
  <c r="L50" i="15" s="1"/>
  <c r="G49" i="15"/>
  <c r="G50" i="15" s="1"/>
  <c r="H50" i="15" s="1"/>
  <c r="K47" i="15"/>
  <c r="G47" i="15"/>
  <c r="H47" i="15" s="1"/>
  <c r="K47" i="23"/>
  <c r="G47" i="23"/>
  <c r="H47" i="23" s="1"/>
  <c r="J53" i="15"/>
  <c r="H57" i="23"/>
  <c r="H56" i="23"/>
  <c r="L55" i="23"/>
  <c r="N55" i="23" s="1"/>
  <c r="H55" i="23"/>
  <c r="O55" i="23" s="1"/>
  <c r="L54" i="23"/>
  <c r="N54" i="23" s="1"/>
  <c r="H54" i="23"/>
  <c r="O54" i="23" s="1"/>
  <c r="G53" i="23"/>
  <c r="K53" i="23" s="1"/>
  <c r="L53" i="23" s="1"/>
  <c r="H53" i="23"/>
  <c r="K52" i="23"/>
  <c r="L52" i="23"/>
  <c r="G52" i="23"/>
  <c r="H52" i="23"/>
  <c r="L51" i="23"/>
  <c r="N51" i="23" s="1"/>
  <c r="H51" i="23"/>
  <c r="K50" i="23"/>
  <c r="L50" i="23" s="1"/>
  <c r="L44" i="23"/>
  <c r="H44" i="23"/>
  <c r="K43" i="23"/>
  <c r="G43" i="23"/>
  <c r="K42" i="23"/>
  <c r="G42" i="23"/>
  <c r="H42" i="23" s="1"/>
  <c r="K41" i="23"/>
  <c r="G41" i="23"/>
  <c r="H41" i="23" s="1"/>
  <c r="K40" i="23"/>
  <c r="L40" i="23" s="1"/>
  <c r="G40" i="23"/>
  <c r="H40" i="23" s="1"/>
  <c r="O40" i="23" s="1"/>
  <c r="K39" i="23"/>
  <c r="L39" i="23" s="1"/>
  <c r="G39" i="23"/>
  <c r="H39" i="23" s="1"/>
  <c r="O39" i="23" s="1"/>
  <c r="K38" i="23"/>
  <c r="K36" i="23"/>
  <c r="L36" i="23"/>
  <c r="G36" i="23"/>
  <c r="H36" i="23"/>
  <c r="O36" i="23"/>
  <c r="K35" i="23"/>
  <c r="L35" i="23"/>
  <c r="N35" i="23" s="1"/>
  <c r="G35" i="23"/>
  <c r="H35" i="23"/>
  <c r="O35" i="23" s="1"/>
  <c r="K34" i="23"/>
  <c r="L34" i="23"/>
  <c r="G34" i="23"/>
  <c r="H34" i="23"/>
  <c r="O34" i="23" s="1"/>
  <c r="K33" i="23"/>
  <c r="L33" i="23"/>
  <c r="G33" i="23"/>
  <c r="H33" i="23"/>
  <c r="L32" i="23"/>
  <c r="K32" i="23"/>
  <c r="G32" i="23"/>
  <c r="H32" i="23"/>
  <c r="O32" i="23" s="1"/>
  <c r="K31" i="23"/>
  <c r="L31" i="23"/>
  <c r="G31" i="23"/>
  <c r="H31" i="23"/>
  <c r="O31" i="23" s="1"/>
  <c r="K30" i="23"/>
  <c r="L30" i="23" s="1"/>
  <c r="N30" i="23" s="1"/>
  <c r="G30" i="23"/>
  <c r="H30" i="23"/>
  <c r="O30" i="23"/>
  <c r="K29" i="23"/>
  <c r="L29" i="23"/>
  <c r="N29" i="23" s="1"/>
  <c r="G29" i="23"/>
  <c r="H29" i="23"/>
  <c r="O29" i="23" s="1"/>
  <c r="K28" i="23"/>
  <c r="L28" i="23"/>
  <c r="N28" i="23" s="1"/>
  <c r="H28" i="23"/>
  <c r="O28" i="23" s="1"/>
  <c r="G28" i="23"/>
  <c r="H26" i="23"/>
  <c r="O26" i="23" s="1"/>
  <c r="H25" i="23"/>
  <c r="L24" i="23"/>
  <c r="H24" i="23"/>
  <c r="O24" i="23" s="1"/>
  <c r="L23" i="23"/>
  <c r="H23" i="23"/>
  <c r="O23" i="23"/>
  <c r="L22" i="23"/>
  <c r="H22" i="23"/>
  <c r="O22" i="23" s="1"/>
  <c r="O57" i="19"/>
  <c r="L57" i="19"/>
  <c r="N57" i="19"/>
  <c r="K57" i="19"/>
  <c r="J43" i="19"/>
  <c r="H57" i="19"/>
  <c r="K56" i="19"/>
  <c r="L56" i="19"/>
  <c r="N56" i="19"/>
  <c r="H56" i="19"/>
  <c r="O56" i="19"/>
  <c r="O55" i="19"/>
  <c r="L55" i="19"/>
  <c r="H55" i="19"/>
  <c r="N55" i="19"/>
  <c r="L54" i="19"/>
  <c r="H54" i="19"/>
  <c r="N54" i="19"/>
  <c r="O54" i="19"/>
  <c r="G53" i="19"/>
  <c r="H53" i="19"/>
  <c r="K52" i="19"/>
  <c r="L52" i="19"/>
  <c r="G52" i="19"/>
  <c r="H52" i="19"/>
  <c r="L51" i="19"/>
  <c r="H51" i="19"/>
  <c r="K49" i="19"/>
  <c r="L49" i="19" s="1"/>
  <c r="G49" i="19"/>
  <c r="G50" i="19" s="1"/>
  <c r="H50" i="19" s="1"/>
  <c r="K47" i="19"/>
  <c r="L47" i="19" s="1"/>
  <c r="G47" i="19"/>
  <c r="H47" i="19" s="1"/>
  <c r="L44" i="19"/>
  <c r="N44" i="19" s="1"/>
  <c r="H44" i="19"/>
  <c r="K43" i="19"/>
  <c r="G43" i="19"/>
  <c r="F43" i="19"/>
  <c r="H43" i="19" s="1"/>
  <c r="K42" i="19"/>
  <c r="G42" i="19"/>
  <c r="H42" i="19"/>
  <c r="K41" i="19"/>
  <c r="G41" i="19"/>
  <c r="H41" i="19"/>
  <c r="K40" i="19"/>
  <c r="L40" i="19"/>
  <c r="N40" i="19" s="1"/>
  <c r="G40" i="19"/>
  <c r="H40" i="19"/>
  <c r="O40" i="19" s="1"/>
  <c r="K39" i="19"/>
  <c r="L39" i="19"/>
  <c r="N39" i="19" s="1"/>
  <c r="G39" i="19"/>
  <c r="H39" i="19"/>
  <c r="O39" i="19"/>
  <c r="K38" i="19"/>
  <c r="L38" i="19"/>
  <c r="G38" i="19"/>
  <c r="H38" i="19"/>
  <c r="K36" i="19"/>
  <c r="L36" i="19"/>
  <c r="N36" i="19" s="1"/>
  <c r="G36" i="19"/>
  <c r="H36" i="19"/>
  <c r="O36" i="19"/>
  <c r="K35" i="19"/>
  <c r="L35" i="19"/>
  <c r="G35" i="19"/>
  <c r="H35" i="19"/>
  <c r="O35" i="19"/>
  <c r="K34" i="19"/>
  <c r="L34" i="19"/>
  <c r="G34" i="19"/>
  <c r="H34" i="19"/>
  <c r="K33" i="19"/>
  <c r="L33" i="19"/>
  <c r="N33" i="19" s="1"/>
  <c r="G33" i="19"/>
  <c r="H33" i="19"/>
  <c r="K32" i="19"/>
  <c r="L32" i="19"/>
  <c r="N32" i="19" s="1"/>
  <c r="G32" i="19"/>
  <c r="H32" i="19"/>
  <c r="K31" i="19"/>
  <c r="L31" i="19"/>
  <c r="G31" i="19"/>
  <c r="H31" i="19"/>
  <c r="K30" i="19"/>
  <c r="L30" i="19"/>
  <c r="N30" i="19" s="1"/>
  <c r="G30" i="19"/>
  <c r="H30" i="19"/>
  <c r="O30" i="19"/>
  <c r="K29" i="19"/>
  <c r="L29" i="19"/>
  <c r="G29" i="19"/>
  <c r="H29" i="19"/>
  <c r="O29" i="19"/>
  <c r="K28" i="19"/>
  <c r="L28" i="19"/>
  <c r="G28" i="19"/>
  <c r="H28" i="19"/>
  <c r="H26" i="19"/>
  <c r="O26" i="19"/>
  <c r="L25" i="19"/>
  <c r="L24" i="19"/>
  <c r="H24" i="19"/>
  <c r="O24" i="19"/>
  <c r="L23" i="19"/>
  <c r="H23" i="19"/>
  <c r="O23" i="19"/>
  <c r="L22" i="19"/>
  <c r="H22" i="19"/>
  <c r="O22" i="19" s="1"/>
  <c r="K49" i="17"/>
  <c r="K46" i="17"/>
  <c r="K47" i="17" s="1"/>
  <c r="G49" i="17"/>
  <c r="K53" i="17"/>
  <c r="L53" i="17"/>
  <c r="G53" i="17"/>
  <c r="H53" i="17"/>
  <c r="K41" i="16"/>
  <c r="G41" i="16"/>
  <c r="K41" i="15"/>
  <c r="G41" i="15"/>
  <c r="H41" i="15" s="1"/>
  <c r="K41" i="14"/>
  <c r="G41" i="14"/>
  <c r="H41" i="14"/>
  <c r="G42" i="14"/>
  <c r="K41" i="13"/>
  <c r="G41" i="13"/>
  <c r="H41" i="13"/>
  <c r="K53" i="16"/>
  <c r="G53" i="16"/>
  <c r="H53" i="16"/>
  <c r="G53" i="15"/>
  <c r="K53" i="15" s="1"/>
  <c r="L53" i="15" s="1"/>
  <c r="K53" i="14"/>
  <c r="L53" i="14" s="1"/>
  <c r="G53" i="14"/>
  <c r="G43" i="14"/>
  <c r="K53" i="13"/>
  <c r="L53" i="13"/>
  <c r="G53" i="13"/>
  <c r="H53" i="13"/>
  <c r="K43" i="13"/>
  <c r="G43" i="13"/>
  <c r="G58" i="12"/>
  <c r="K58" i="12"/>
  <c r="L58" i="12"/>
  <c r="G57" i="12"/>
  <c r="K57" i="12"/>
  <c r="L57" i="12"/>
  <c r="G56" i="12"/>
  <c r="K56" i="12"/>
  <c r="L56" i="12"/>
  <c r="H55" i="12"/>
  <c r="G55" i="12"/>
  <c r="K55" i="12"/>
  <c r="L55" i="12"/>
  <c r="G54" i="12"/>
  <c r="K54" i="12"/>
  <c r="L54" i="12"/>
  <c r="K53" i="12"/>
  <c r="L53" i="12"/>
  <c r="G53" i="12"/>
  <c r="H53" i="12"/>
  <c r="L52" i="12"/>
  <c r="H52" i="12"/>
  <c r="K47" i="12"/>
  <c r="L47" i="12" s="1"/>
  <c r="G47" i="12"/>
  <c r="H47" i="12" s="1"/>
  <c r="L45" i="12"/>
  <c r="H45" i="12"/>
  <c r="K44" i="12"/>
  <c r="J44" i="12"/>
  <c r="G44" i="12"/>
  <c r="F44" i="12"/>
  <c r="H44" i="12" s="1"/>
  <c r="K43" i="12"/>
  <c r="G43" i="12"/>
  <c r="H43" i="12"/>
  <c r="K42" i="12"/>
  <c r="L42" i="12"/>
  <c r="G42" i="12"/>
  <c r="H42" i="12"/>
  <c r="O42" i="12" s="1"/>
  <c r="K41" i="12"/>
  <c r="L41" i="12"/>
  <c r="G41" i="12"/>
  <c r="H41" i="12"/>
  <c r="O41" i="12" s="1"/>
  <c r="K40" i="12"/>
  <c r="L40" i="12"/>
  <c r="H40" i="12"/>
  <c r="G40" i="12"/>
  <c r="K39" i="12"/>
  <c r="G39" i="12"/>
  <c r="H39" i="12"/>
  <c r="K36" i="12"/>
  <c r="L36" i="12"/>
  <c r="N36" i="12"/>
  <c r="G36" i="12"/>
  <c r="H36" i="12"/>
  <c r="O36" i="12"/>
  <c r="K35" i="12"/>
  <c r="L35" i="12"/>
  <c r="G35" i="12"/>
  <c r="H35" i="12"/>
  <c r="O35" i="12"/>
  <c r="K34" i="12"/>
  <c r="L34" i="12"/>
  <c r="N34" i="12" s="1"/>
  <c r="G34" i="12"/>
  <c r="H34" i="12"/>
  <c r="O34" i="12" s="1"/>
  <c r="K33" i="12"/>
  <c r="L33" i="12"/>
  <c r="G33" i="12"/>
  <c r="H33" i="12"/>
  <c r="O33" i="12" s="1"/>
  <c r="K32" i="12"/>
  <c r="L32" i="12"/>
  <c r="G32" i="12"/>
  <c r="H32" i="12"/>
  <c r="K31" i="12"/>
  <c r="L31" i="12"/>
  <c r="G31" i="12"/>
  <c r="H31" i="12"/>
  <c r="K30" i="12"/>
  <c r="L30" i="12"/>
  <c r="G30" i="12"/>
  <c r="H30" i="12"/>
  <c r="O30" i="12" s="1"/>
  <c r="L29" i="12"/>
  <c r="N29" i="12" s="1"/>
  <c r="K29" i="12"/>
  <c r="H29" i="12"/>
  <c r="O29" i="12" s="1"/>
  <c r="G29" i="12"/>
  <c r="K28" i="12"/>
  <c r="L28" i="12"/>
  <c r="G28" i="12"/>
  <c r="H28" i="12"/>
  <c r="O28" i="12" s="1"/>
  <c r="K27" i="12"/>
  <c r="G27" i="12"/>
  <c r="H26" i="12"/>
  <c r="O26" i="12" s="1"/>
  <c r="L24" i="12"/>
  <c r="H24" i="12"/>
  <c r="L38" i="12"/>
  <c r="H38" i="12"/>
  <c r="O38" i="12" s="1"/>
  <c r="L23" i="12"/>
  <c r="H23" i="12"/>
  <c r="L22" i="12"/>
  <c r="H22" i="12"/>
  <c r="G58" i="11"/>
  <c r="K58" i="11"/>
  <c r="L58" i="11"/>
  <c r="G57" i="11"/>
  <c r="K57" i="11"/>
  <c r="L57" i="11"/>
  <c r="G56" i="11"/>
  <c r="H56" i="11"/>
  <c r="G55" i="11"/>
  <c r="K55" i="11"/>
  <c r="L55" i="11"/>
  <c r="G54" i="11"/>
  <c r="H54" i="11"/>
  <c r="K53" i="11"/>
  <c r="L53" i="11"/>
  <c r="G53" i="11"/>
  <c r="H53" i="11"/>
  <c r="L52" i="11"/>
  <c r="H52" i="11"/>
  <c r="K47" i="11"/>
  <c r="L47" i="11" s="1"/>
  <c r="G47" i="11"/>
  <c r="G48" i="11" s="1"/>
  <c r="L45" i="11"/>
  <c r="H45" i="11"/>
  <c r="K44" i="11"/>
  <c r="J44" i="11"/>
  <c r="G44" i="11"/>
  <c r="F44" i="11"/>
  <c r="K43" i="11"/>
  <c r="G43" i="11"/>
  <c r="H43" i="11"/>
  <c r="K42" i="11"/>
  <c r="L42" i="11"/>
  <c r="G42" i="11"/>
  <c r="H42" i="11"/>
  <c r="O42" i="11" s="1"/>
  <c r="K41" i="11"/>
  <c r="L41" i="11"/>
  <c r="G41" i="11"/>
  <c r="H41" i="11"/>
  <c r="K40" i="11"/>
  <c r="L40" i="11"/>
  <c r="H40" i="11"/>
  <c r="G40" i="11"/>
  <c r="K39" i="11"/>
  <c r="G39" i="11"/>
  <c r="H39" i="11"/>
  <c r="K36" i="11"/>
  <c r="L36" i="11"/>
  <c r="G36" i="11"/>
  <c r="H36" i="11"/>
  <c r="O36" i="11"/>
  <c r="K35" i="11"/>
  <c r="L35" i="11"/>
  <c r="G35" i="11"/>
  <c r="H35" i="11"/>
  <c r="K34" i="11"/>
  <c r="L34" i="11"/>
  <c r="N34" i="11" s="1"/>
  <c r="G34" i="11"/>
  <c r="H34" i="11"/>
  <c r="O34" i="11"/>
  <c r="K33" i="11"/>
  <c r="L33" i="11"/>
  <c r="G33" i="11"/>
  <c r="H33" i="11"/>
  <c r="N33" i="11" s="1"/>
  <c r="O33" i="11"/>
  <c r="K32" i="11"/>
  <c r="L32" i="11"/>
  <c r="G32" i="11"/>
  <c r="H32" i="11"/>
  <c r="K31" i="11"/>
  <c r="L31" i="11"/>
  <c r="G31" i="11"/>
  <c r="H31" i="11"/>
  <c r="O31" i="11" s="1"/>
  <c r="K30" i="11"/>
  <c r="L30" i="11"/>
  <c r="G30" i="11"/>
  <c r="H30" i="11"/>
  <c r="O30" i="11"/>
  <c r="K29" i="11"/>
  <c r="L29" i="11"/>
  <c r="G29" i="11"/>
  <c r="H29" i="11"/>
  <c r="O29" i="11"/>
  <c r="K28" i="11"/>
  <c r="L28" i="11"/>
  <c r="G28" i="11"/>
  <c r="H28" i="11"/>
  <c r="K27" i="11"/>
  <c r="G27" i="11"/>
  <c r="H26" i="11"/>
  <c r="O26" i="11"/>
  <c r="L24" i="11"/>
  <c r="H24" i="11"/>
  <c r="O24" i="11"/>
  <c r="L38" i="11"/>
  <c r="H38" i="11"/>
  <c r="O38" i="11"/>
  <c r="L23" i="11"/>
  <c r="H23" i="11"/>
  <c r="N23" i="11" s="1"/>
  <c r="L22" i="11"/>
  <c r="H22" i="11"/>
  <c r="O22" i="11" s="1"/>
  <c r="G58" i="10"/>
  <c r="K58" i="10"/>
  <c r="L58" i="10"/>
  <c r="G57" i="10"/>
  <c r="K57" i="10"/>
  <c r="L57" i="10"/>
  <c r="G56" i="10"/>
  <c r="K56" i="10"/>
  <c r="L56" i="10"/>
  <c r="G55" i="10"/>
  <c r="K55" i="10"/>
  <c r="L55" i="10"/>
  <c r="G54" i="10"/>
  <c r="H54" i="10"/>
  <c r="K53" i="10"/>
  <c r="L53" i="10"/>
  <c r="G53" i="10"/>
  <c r="H53" i="10"/>
  <c r="L52" i="10"/>
  <c r="H52" i="10"/>
  <c r="K47" i="10"/>
  <c r="L47" i="10" s="1"/>
  <c r="G47" i="10"/>
  <c r="G48" i="10" s="1"/>
  <c r="L45" i="10"/>
  <c r="H45" i="10"/>
  <c r="K44" i="10"/>
  <c r="J44" i="10"/>
  <c r="G44" i="10"/>
  <c r="F44" i="10"/>
  <c r="H44" i="10" s="1"/>
  <c r="K43" i="10"/>
  <c r="G43" i="10"/>
  <c r="H43" i="10"/>
  <c r="K42" i="10"/>
  <c r="L42" i="10"/>
  <c r="G42" i="10"/>
  <c r="H42" i="10"/>
  <c r="O42" i="10" s="1"/>
  <c r="K41" i="10"/>
  <c r="L41" i="10"/>
  <c r="G41" i="10"/>
  <c r="H41" i="10"/>
  <c r="O41" i="10" s="1"/>
  <c r="K40" i="10"/>
  <c r="L40" i="10"/>
  <c r="G40" i="10"/>
  <c r="H40" i="10"/>
  <c r="K39" i="10"/>
  <c r="G39" i="10"/>
  <c r="H39" i="10"/>
  <c r="K36" i="10"/>
  <c r="L36" i="10"/>
  <c r="G36" i="10"/>
  <c r="H36" i="10"/>
  <c r="K35" i="10"/>
  <c r="L35" i="10"/>
  <c r="G35" i="10"/>
  <c r="H35" i="10"/>
  <c r="K34" i="10"/>
  <c r="L34" i="10"/>
  <c r="G34" i="10"/>
  <c r="H34" i="10"/>
  <c r="O34" i="10" s="1"/>
  <c r="K33" i="10"/>
  <c r="L33" i="10"/>
  <c r="G33" i="10"/>
  <c r="H33" i="10"/>
  <c r="N33" i="10" s="1"/>
  <c r="K32" i="10"/>
  <c r="L32" i="10"/>
  <c r="N32" i="10" s="1"/>
  <c r="G32" i="10"/>
  <c r="H32" i="10"/>
  <c r="O32" i="10"/>
  <c r="K31" i="10"/>
  <c r="L31" i="10"/>
  <c r="G31" i="10"/>
  <c r="H31" i="10"/>
  <c r="O31" i="10" s="1"/>
  <c r="K30" i="10"/>
  <c r="L30" i="10"/>
  <c r="N30" i="10" s="1"/>
  <c r="G30" i="10"/>
  <c r="H30" i="10"/>
  <c r="K29" i="10"/>
  <c r="L29" i="10"/>
  <c r="G29" i="10"/>
  <c r="H29" i="10"/>
  <c r="K28" i="10"/>
  <c r="L28" i="10"/>
  <c r="G28" i="10"/>
  <c r="H28" i="10"/>
  <c r="K27" i="10"/>
  <c r="G27" i="10"/>
  <c r="H26" i="10"/>
  <c r="O26" i="10"/>
  <c r="L24" i="10"/>
  <c r="H24" i="10"/>
  <c r="O24" i="10" s="1"/>
  <c r="L38" i="10"/>
  <c r="H38" i="10"/>
  <c r="O38" i="10" s="1"/>
  <c r="L23" i="10"/>
  <c r="H23" i="10"/>
  <c r="L22" i="10"/>
  <c r="H22" i="10"/>
  <c r="O22" i="10" s="1"/>
  <c r="G58" i="9"/>
  <c r="H58" i="9"/>
  <c r="K58" i="9"/>
  <c r="L58" i="9"/>
  <c r="G57" i="9"/>
  <c r="K57" i="9"/>
  <c r="L57" i="9"/>
  <c r="G56" i="9"/>
  <c r="H56" i="9"/>
  <c r="G55" i="9"/>
  <c r="H55" i="9"/>
  <c r="K55" i="9"/>
  <c r="L55" i="9"/>
  <c r="G54" i="9"/>
  <c r="K54" i="9"/>
  <c r="L54" i="9"/>
  <c r="K53" i="9"/>
  <c r="L53" i="9"/>
  <c r="G53" i="9"/>
  <c r="H53" i="9"/>
  <c r="L52" i="9"/>
  <c r="H52" i="9"/>
  <c r="K47" i="9"/>
  <c r="L47" i="9" s="1"/>
  <c r="G47" i="9"/>
  <c r="H47" i="9" s="1"/>
  <c r="L45" i="9"/>
  <c r="H45" i="9"/>
  <c r="K44" i="9"/>
  <c r="J44" i="9"/>
  <c r="G44" i="9"/>
  <c r="F44" i="9"/>
  <c r="K43" i="9"/>
  <c r="H43" i="9"/>
  <c r="G43" i="9"/>
  <c r="K42" i="9"/>
  <c r="L42" i="9"/>
  <c r="N42" i="9" s="1"/>
  <c r="G42" i="9"/>
  <c r="H42" i="9"/>
  <c r="O42" i="9" s="1"/>
  <c r="K41" i="9"/>
  <c r="L41" i="9"/>
  <c r="N41" i="9" s="1"/>
  <c r="G41" i="9"/>
  <c r="H41" i="9"/>
  <c r="K40" i="9"/>
  <c r="L40" i="9"/>
  <c r="G40" i="9"/>
  <c r="H40" i="9"/>
  <c r="K39" i="9"/>
  <c r="G39" i="9"/>
  <c r="H39" i="9"/>
  <c r="K36" i="9"/>
  <c r="L36" i="9"/>
  <c r="N36" i="9"/>
  <c r="G36" i="9"/>
  <c r="H36" i="9"/>
  <c r="O36" i="9"/>
  <c r="K35" i="9"/>
  <c r="L35" i="9"/>
  <c r="G35" i="9"/>
  <c r="H35" i="9"/>
  <c r="O35" i="9"/>
  <c r="K34" i="9"/>
  <c r="L34" i="9"/>
  <c r="G34" i="9"/>
  <c r="H34" i="9"/>
  <c r="O34" i="9"/>
  <c r="K33" i="9"/>
  <c r="L33" i="9"/>
  <c r="N33" i="9"/>
  <c r="G33" i="9"/>
  <c r="H33" i="9"/>
  <c r="O33" i="9"/>
  <c r="K32" i="9"/>
  <c r="L32" i="9"/>
  <c r="H32" i="9"/>
  <c r="O32" i="9"/>
  <c r="G32" i="9"/>
  <c r="K31" i="9"/>
  <c r="L31" i="9"/>
  <c r="N31" i="9"/>
  <c r="G31" i="9"/>
  <c r="H31" i="9"/>
  <c r="O31" i="9"/>
  <c r="K30" i="9"/>
  <c r="L30" i="9"/>
  <c r="G30" i="9"/>
  <c r="H30" i="9"/>
  <c r="K29" i="9"/>
  <c r="L29" i="9"/>
  <c r="N29" i="9"/>
  <c r="G29" i="9"/>
  <c r="H29" i="9"/>
  <c r="O29" i="9"/>
  <c r="K28" i="9"/>
  <c r="L28" i="9"/>
  <c r="N28" i="9"/>
  <c r="G28" i="9"/>
  <c r="H28" i="9"/>
  <c r="O28" i="9"/>
  <c r="K27" i="9"/>
  <c r="G27" i="9"/>
  <c r="H26" i="9"/>
  <c r="O26" i="9"/>
  <c r="L24" i="9"/>
  <c r="N24" i="9" s="1"/>
  <c r="H24" i="9"/>
  <c r="O24" i="9"/>
  <c r="L38" i="9"/>
  <c r="N38" i="9" s="1"/>
  <c r="H38" i="9"/>
  <c r="O38" i="9"/>
  <c r="L23" i="9"/>
  <c r="H23" i="9"/>
  <c r="L22" i="9"/>
  <c r="H22" i="9"/>
  <c r="G56" i="8"/>
  <c r="H56" i="8"/>
  <c r="K56" i="8"/>
  <c r="L56" i="8"/>
  <c r="G55" i="8"/>
  <c r="K55" i="8"/>
  <c r="L55" i="8"/>
  <c r="G54" i="8"/>
  <c r="H54" i="8"/>
  <c r="K54" i="8"/>
  <c r="L54" i="8"/>
  <c r="K44" i="8"/>
  <c r="G44" i="8"/>
  <c r="G58" i="7"/>
  <c r="H58" i="7"/>
  <c r="K58" i="7"/>
  <c r="L58" i="7"/>
  <c r="G57" i="7"/>
  <c r="H57" i="7"/>
  <c r="G56" i="7"/>
  <c r="H56" i="7"/>
  <c r="G55" i="7"/>
  <c r="H55" i="7"/>
  <c r="K55" i="7"/>
  <c r="L55" i="7"/>
  <c r="G54" i="7"/>
  <c r="H54" i="7"/>
  <c r="N54" i="7" s="1"/>
  <c r="O54" i="7" s="1"/>
  <c r="K54" i="7"/>
  <c r="L54" i="7"/>
  <c r="K53" i="7"/>
  <c r="L53" i="7"/>
  <c r="G53" i="7"/>
  <c r="H53" i="7"/>
  <c r="L52" i="7"/>
  <c r="H52" i="7"/>
  <c r="K47" i="7"/>
  <c r="L47" i="7" s="1"/>
  <c r="G47" i="7"/>
  <c r="G48" i="7" s="1"/>
  <c r="L45" i="7"/>
  <c r="H45" i="7"/>
  <c r="N45" i="7" s="1"/>
  <c r="K44" i="7"/>
  <c r="L44" i="7" s="1"/>
  <c r="J44" i="7"/>
  <c r="G44" i="7"/>
  <c r="F44" i="7"/>
  <c r="K43" i="7"/>
  <c r="G43" i="7"/>
  <c r="H43" i="7"/>
  <c r="K42" i="7"/>
  <c r="L42" i="7"/>
  <c r="G42" i="7"/>
  <c r="H42" i="7"/>
  <c r="K41" i="7"/>
  <c r="L41" i="7"/>
  <c r="G41" i="7"/>
  <c r="H41" i="7"/>
  <c r="O41" i="7" s="1"/>
  <c r="K40" i="7"/>
  <c r="L40" i="7"/>
  <c r="H40" i="7"/>
  <c r="O40" i="7" s="1"/>
  <c r="G40" i="7"/>
  <c r="K39" i="7"/>
  <c r="G39" i="7"/>
  <c r="H39" i="7"/>
  <c r="K36" i="7"/>
  <c r="L36" i="7"/>
  <c r="N36" i="7"/>
  <c r="G36" i="7"/>
  <c r="H36" i="7"/>
  <c r="O36" i="7"/>
  <c r="K35" i="7"/>
  <c r="L35" i="7"/>
  <c r="N35" i="7"/>
  <c r="G35" i="7"/>
  <c r="H35" i="7"/>
  <c r="O35" i="7"/>
  <c r="K34" i="7"/>
  <c r="L34" i="7"/>
  <c r="N34" i="7" s="1"/>
  <c r="G34" i="7"/>
  <c r="H34" i="7"/>
  <c r="O34" i="7"/>
  <c r="K33" i="7"/>
  <c r="L33" i="7"/>
  <c r="N33" i="7" s="1"/>
  <c r="G33" i="7"/>
  <c r="H33" i="7"/>
  <c r="K32" i="7"/>
  <c r="L32" i="7"/>
  <c r="N32" i="7" s="1"/>
  <c r="G32" i="7"/>
  <c r="H32" i="7"/>
  <c r="O32" i="7"/>
  <c r="K31" i="7"/>
  <c r="L31" i="7"/>
  <c r="N31" i="7" s="1"/>
  <c r="G31" i="7"/>
  <c r="H31" i="7"/>
  <c r="O31" i="7"/>
  <c r="K30" i="7"/>
  <c r="L30" i="7"/>
  <c r="G30" i="7"/>
  <c r="H30" i="7"/>
  <c r="O30" i="7"/>
  <c r="K29" i="7"/>
  <c r="L29" i="7"/>
  <c r="N29" i="7" s="1"/>
  <c r="G29" i="7"/>
  <c r="H29" i="7"/>
  <c r="O29" i="7"/>
  <c r="K28" i="7"/>
  <c r="L28" i="7"/>
  <c r="N28" i="7" s="1"/>
  <c r="G28" i="7"/>
  <c r="H28" i="7"/>
  <c r="O28" i="7"/>
  <c r="K27" i="7"/>
  <c r="G27" i="7"/>
  <c r="H26" i="7"/>
  <c r="O26" i="7" s="1"/>
  <c r="L24" i="7"/>
  <c r="H24" i="7"/>
  <c r="L38" i="7"/>
  <c r="N38" i="7" s="1"/>
  <c r="H38" i="7"/>
  <c r="O38" i="7"/>
  <c r="L23" i="7"/>
  <c r="H23" i="7"/>
  <c r="L22" i="7"/>
  <c r="H22" i="7"/>
  <c r="O22" i="7" s="1"/>
  <c r="G58" i="6"/>
  <c r="K58" i="6"/>
  <c r="L58" i="6"/>
  <c r="H58" i="6"/>
  <c r="G57" i="6"/>
  <c r="K57" i="6"/>
  <c r="L57" i="6"/>
  <c r="G56" i="6"/>
  <c r="K56" i="6"/>
  <c r="L56" i="6"/>
  <c r="N56" i="6"/>
  <c r="H56" i="6"/>
  <c r="G55" i="6"/>
  <c r="K55" i="6"/>
  <c r="L55" i="6"/>
  <c r="G54" i="6"/>
  <c r="H54" i="6"/>
  <c r="K53" i="6"/>
  <c r="L53" i="6"/>
  <c r="G53" i="6"/>
  <c r="H53" i="6"/>
  <c r="L52" i="6"/>
  <c r="H52" i="6"/>
  <c r="K47" i="6"/>
  <c r="L47" i="6" s="1"/>
  <c r="G47" i="6"/>
  <c r="H47" i="6" s="1"/>
  <c r="L45" i="6"/>
  <c r="H45" i="6"/>
  <c r="N45" i="6" s="1"/>
  <c r="K44" i="6"/>
  <c r="L44" i="6" s="1"/>
  <c r="J44" i="6"/>
  <c r="G44" i="6"/>
  <c r="F44" i="6"/>
  <c r="K43" i="6"/>
  <c r="G43" i="6"/>
  <c r="H43" i="6"/>
  <c r="K42" i="6"/>
  <c r="L42" i="6"/>
  <c r="G42" i="6"/>
  <c r="H42" i="6"/>
  <c r="K41" i="6"/>
  <c r="L41" i="6"/>
  <c r="G41" i="6"/>
  <c r="H41" i="6"/>
  <c r="O41" i="6" s="1"/>
  <c r="K40" i="6"/>
  <c r="L40" i="6"/>
  <c r="G40" i="6"/>
  <c r="H40" i="6"/>
  <c r="O40" i="6" s="1"/>
  <c r="K39" i="6"/>
  <c r="G39" i="6"/>
  <c r="H39" i="6"/>
  <c r="K36" i="6"/>
  <c r="L36" i="6"/>
  <c r="N36" i="6" s="1"/>
  <c r="G36" i="6"/>
  <c r="H36" i="6"/>
  <c r="O36" i="6"/>
  <c r="K35" i="6"/>
  <c r="L35" i="6"/>
  <c r="N35" i="6" s="1"/>
  <c r="G35" i="6"/>
  <c r="H35" i="6"/>
  <c r="O35" i="6"/>
  <c r="K34" i="6"/>
  <c r="L34" i="6"/>
  <c r="N34" i="6" s="1"/>
  <c r="G34" i="6"/>
  <c r="H34" i="6"/>
  <c r="O34" i="6"/>
  <c r="K33" i="6"/>
  <c r="L33" i="6"/>
  <c r="G33" i="6"/>
  <c r="H33" i="6"/>
  <c r="K32" i="6"/>
  <c r="L32" i="6"/>
  <c r="N32" i="6" s="1"/>
  <c r="G32" i="6"/>
  <c r="H32" i="6"/>
  <c r="K31" i="6"/>
  <c r="L31" i="6"/>
  <c r="N31" i="6"/>
  <c r="G31" i="6"/>
  <c r="H31" i="6"/>
  <c r="O31" i="6"/>
  <c r="K30" i="6"/>
  <c r="L30" i="6"/>
  <c r="N30" i="6"/>
  <c r="G30" i="6"/>
  <c r="H30" i="6"/>
  <c r="O30" i="6"/>
  <c r="K29" i="6"/>
  <c r="L29" i="6"/>
  <c r="G29" i="6"/>
  <c r="H29" i="6"/>
  <c r="N29" i="6"/>
  <c r="O29" i="6"/>
  <c r="K28" i="6"/>
  <c r="L28" i="6"/>
  <c r="N28" i="6" s="1"/>
  <c r="G28" i="6"/>
  <c r="H28" i="6"/>
  <c r="O28" i="6"/>
  <c r="K27" i="6"/>
  <c r="G27" i="6"/>
  <c r="L24" i="6"/>
  <c r="H24" i="6"/>
  <c r="O24" i="6" s="1"/>
  <c r="L38" i="6"/>
  <c r="N38" i="6"/>
  <c r="H38" i="6"/>
  <c r="O38" i="6"/>
  <c r="L23" i="6"/>
  <c r="H23" i="6"/>
  <c r="L22" i="6"/>
  <c r="N22" i="6" s="1"/>
  <c r="H22" i="6"/>
  <c r="O22" i="6" s="1"/>
  <c r="G58" i="5"/>
  <c r="K58" i="5"/>
  <c r="L58" i="5"/>
  <c r="H58" i="5"/>
  <c r="G57" i="5"/>
  <c r="H57" i="5"/>
  <c r="G56" i="5"/>
  <c r="H56" i="5"/>
  <c r="G55" i="5"/>
  <c r="H55" i="5"/>
  <c r="G54" i="5"/>
  <c r="K54" i="5"/>
  <c r="L54" i="5"/>
  <c r="K53" i="5"/>
  <c r="L53" i="5"/>
  <c r="G53" i="5"/>
  <c r="H53" i="5"/>
  <c r="L52" i="5"/>
  <c r="H52" i="5"/>
  <c r="N52" i="5" s="1"/>
  <c r="K47" i="5"/>
  <c r="L47" i="5" s="1"/>
  <c r="G47" i="5"/>
  <c r="G48" i="5" s="1"/>
  <c r="L45" i="5"/>
  <c r="H45" i="5"/>
  <c r="N45" i="5" s="1"/>
  <c r="K44" i="5"/>
  <c r="J44" i="5"/>
  <c r="G44" i="5"/>
  <c r="F44" i="5"/>
  <c r="K43" i="5"/>
  <c r="G43" i="5"/>
  <c r="H43" i="5"/>
  <c r="K42" i="5"/>
  <c r="L42" i="5"/>
  <c r="G42" i="5"/>
  <c r="H42" i="5"/>
  <c r="O42" i="5" s="1"/>
  <c r="K41" i="5"/>
  <c r="L41" i="5"/>
  <c r="G41" i="5"/>
  <c r="H41" i="5"/>
  <c r="K40" i="5"/>
  <c r="L40" i="5"/>
  <c r="G40" i="5"/>
  <c r="H40" i="5"/>
  <c r="O40" i="5" s="1"/>
  <c r="K39" i="5"/>
  <c r="L39" i="5"/>
  <c r="G39" i="5"/>
  <c r="H39" i="5"/>
  <c r="K36" i="5"/>
  <c r="L36" i="5"/>
  <c r="N36" i="5" s="1"/>
  <c r="G36" i="5"/>
  <c r="H36" i="5"/>
  <c r="O36" i="5"/>
  <c r="K35" i="5"/>
  <c r="L35" i="5"/>
  <c r="N35" i="5" s="1"/>
  <c r="G35" i="5"/>
  <c r="H35" i="5"/>
  <c r="O35" i="5"/>
  <c r="K34" i="5"/>
  <c r="L34" i="5"/>
  <c r="N34" i="5" s="1"/>
  <c r="G34" i="5"/>
  <c r="H34" i="5"/>
  <c r="O34" i="5"/>
  <c r="K33" i="5"/>
  <c r="L33" i="5"/>
  <c r="N33" i="5" s="1"/>
  <c r="G33" i="5"/>
  <c r="H33" i="5"/>
  <c r="O33" i="5"/>
  <c r="K32" i="5"/>
  <c r="L32" i="5"/>
  <c r="N32" i="5" s="1"/>
  <c r="G32" i="5"/>
  <c r="H32" i="5"/>
  <c r="O32" i="5"/>
  <c r="K31" i="5"/>
  <c r="L31" i="5"/>
  <c r="N31" i="5" s="1"/>
  <c r="G31" i="5"/>
  <c r="H31" i="5"/>
  <c r="O31" i="5"/>
  <c r="K30" i="5"/>
  <c r="L30" i="5"/>
  <c r="N30" i="5" s="1"/>
  <c r="G30" i="5"/>
  <c r="H30" i="5"/>
  <c r="O30" i="5"/>
  <c r="K29" i="5"/>
  <c r="L29" i="5"/>
  <c r="N29" i="5" s="1"/>
  <c r="G29" i="5"/>
  <c r="H29" i="5"/>
  <c r="O29" i="5"/>
  <c r="K28" i="5"/>
  <c r="L28" i="5"/>
  <c r="N28" i="5" s="1"/>
  <c r="G28" i="5"/>
  <c r="H28" i="5"/>
  <c r="O28" i="5"/>
  <c r="K27" i="5"/>
  <c r="G27" i="5"/>
  <c r="H26" i="5"/>
  <c r="O26" i="5" s="1"/>
  <c r="L24" i="5"/>
  <c r="H24" i="5"/>
  <c r="L38" i="5"/>
  <c r="N38" i="5" s="1"/>
  <c r="H38" i="5"/>
  <c r="O38" i="5"/>
  <c r="L23" i="5"/>
  <c r="H23" i="5"/>
  <c r="L22" i="5"/>
  <c r="H22" i="5"/>
  <c r="G58" i="4"/>
  <c r="H58" i="4"/>
  <c r="G57" i="4"/>
  <c r="K57" i="4"/>
  <c r="L57" i="4"/>
  <c r="G56" i="4"/>
  <c r="K56" i="4"/>
  <c r="L56" i="4"/>
  <c r="G55" i="4"/>
  <c r="H55" i="4"/>
  <c r="K55" i="4"/>
  <c r="L55" i="4"/>
  <c r="N55" i="4"/>
  <c r="G54" i="4"/>
  <c r="H54" i="4"/>
  <c r="K54" i="4"/>
  <c r="L54" i="4"/>
  <c r="K53" i="4"/>
  <c r="G53" i="4"/>
  <c r="H53" i="4"/>
  <c r="L52" i="4"/>
  <c r="H52" i="4"/>
  <c r="K47" i="4"/>
  <c r="L47" i="4" s="1"/>
  <c r="G47" i="4"/>
  <c r="H47" i="4" s="1"/>
  <c r="L45" i="4"/>
  <c r="H45" i="4"/>
  <c r="K44" i="4"/>
  <c r="J44" i="4"/>
  <c r="G44" i="4"/>
  <c r="F44" i="4"/>
  <c r="K43" i="4"/>
  <c r="G43" i="4"/>
  <c r="H43" i="4"/>
  <c r="K42" i="4"/>
  <c r="L42" i="4"/>
  <c r="G42" i="4"/>
  <c r="H42" i="4"/>
  <c r="K41" i="4"/>
  <c r="L41" i="4"/>
  <c r="G41" i="4"/>
  <c r="H41" i="4"/>
  <c r="K40" i="4"/>
  <c r="L40" i="4"/>
  <c r="G40" i="4"/>
  <c r="H40" i="4"/>
  <c r="O40" i="4" s="1"/>
  <c r="K39" i="4"/>
  <c r="G39" i="4"/>
  <c r="H39" i="4"/>
  <c r="K36" i="4"/>
  <c r="L36" i="4"/>
  <c r="N36" i="4" s="1"/>
  <c r="G36" i="4"/>
  <c r="H36" i="4"/>
  <c r="O36" i="4" s="1"/>
  <c r="K35" i="4"/>
  <c r="L35" i="4"/>
  <c r="N35" i="4" s="1"/>
  <c r="G35" i="4"/>
  <c r="H35" i="4"/>
  <c r="K34" i="4"/>
  <c r="L34" i="4"/>
  <c r="G34" i="4"/>
  <c r="H34" i="4"/>
  <c r="O34" i="4" s="1"/>
  <c r="K33" i="4"/>
  <c r="L33" i="4"/>
  <c r="G33" i="4"/>
  <c r="H33" i="4"/>
  <c r="O33" i="4"/>
  <c r="K32" i="4"/>
  <c r="L32" i="4"/>
  <c r="G32" i="4"/>
  <c r="H32" i="4"/>
  <c r="K31" i="4"/>
  <c r="L31" i="4"/>
  <c r="G31" i="4"/>
  <c r="H31" i="4"/>
  <c r="O31" i="4" s="1"/>
  <c r="K30" i="4"/>
  <c r="L30" i="4"/>
  <c r="G30" i="4"/>
  <c r="H30" i="4"/>
  <c r="O30" i="4"/>
  <c r="K29" i="4"/>
  <c r="L29" i="4"/>
  <c r="G29" i="4"/>
  <c r="H29" i="4"/>
  <c r="O29" i="4" s="1"/>
  <c r="K28" i="4"/>
  <c r="L28" i="4"/>
  <c r="G28" i="4"/>
  <c r="H28" i="4"/>
  <c r="O28" i="4" s="1"/>
  <c r="K27" i="4"/>
  <c r="G27" i="4"/>
  <c r="L26" i="4"/>
  <c r="N26" i="4" s="1"/>
  <c r="L24" i="4"/>
  <c r="H24" i="4"/>
  <c r="L38" i="4"/>
  <c r="N38" i="4" s="1"/>
  <c r="H38" i="4"/>
  <c r="L23" i="4"/>
  <c r="H23" i="4"/>
  <c r="L22" i="4"/>
  <c r="N22" i="4" s="1"/>
  <c r="O22" i="4"/>
  <c r="H22" i="4"/>
  <c r="G58" i="3"/>
  <c r="H58" i="3"/>
  <c r="O58" i="3" s="1"/>
  <c r="G57" i="3"/>
  <c r="K57" i="3"/>
  <c r="L57" i="3"/>
  <c r="H57" i="3"/>
  <c r="G56" i="3"/>
  <c r="H56" i="3"/>
  <c r="G55" i="3"/>
  <c r="H55" i="3"/>
  <c r="G54" i="3"/>
  <c r="K54" i="3"/>
  <c r="L54" i="3"/>
  <c r="N54" i="3" s="1"/>
  <c r="O54" i="3" s="1"/>
  <c r="H54" i="3"/>
  <c r="K53" i="3"/>
  <c r="L53" i="3"/>
  <c r="G53" i="3"/>
  <c r="H53" i="3"/>
  <c r="L52" i="3"/>
  <c r="N52" i="3" s="1"/>
  <c r="H52" i="3"/>
  <c r="K47" i="3"/>
  <c r="L47" i="3" s="1"/>
  <c r="G47" i="3"/>
  <c r="G48" i="3" s="1"/>
  <c r="L45" i="3"/>
  <c r="H45" i="3"/>
  <c r="N45" i="3" s="1"/>
  <c r="K44" i="3"/>
  <c r="J44" i="3"/>
  <c r="G44" i="3"/>
  <c r="F44" i="3"/>
  <c r="H44" i="3" s="1"/>
  <c r="K43" i="3"/>
  <c r="G43" i="3"/>
  <c r="H43" i="3"/>
  <c r="K42" i="3"/>
  <c r="L42" i="3"/>
  <c r="G42" i="3"/>
  <c r="H42" i="3"/>
  <c r="O42" i="3" s="1"/>
  <c r="K41" i="3"/>
  <c r="L41" i="3"/>
  <c r="G41" i="3"/>
  <c r="H41" i="3"/>
  <c r="N41" i="3" s="1"/>
  <c r="K40" i="3"/>
  <c r="L40" i="3"/>
  <c r="G40" i="3"/>
  <c r="H40" i="3"/>
  <c r="K39" i="3"/>
  <c r="G39" i="3"/>
  <c r="H39" i="3"/>
  <c r="K36" i="3"/>
  <c r="L36" i="3"/>
  <c r="G36" i="3"/>
  <c r="H36" i="3"/>
  <c r="K35" i="3"/>
  <c r="L35" i="3"/>
  <c r="N35" i="3" s="1"/>
  <c r="G35" i="3"/>
  <c r="H35" i="3"/>
  <c r="O35" i="3"/>
  <c r="K34" i="3"/>
  <c r="L34" i="3"/>
  <c r="N34" i="3"/>
  <c r="G34" i="3"/>
  <c r="H34" i="3"/>
  <c r="O34" i="3"/>
  <c r="K33" i="3"/>
  <c r="L33" i="3"/>
  <c r="N33" i="3" s="1"/>
  <c r="G33" i="3"/>
  <c r="H33" i="3"/>
  <c r="K32" i="3"/>
  <c r="L32" i="3"/>
  <c r="G32" i="3"/>
  <c r="H32" i="3"/>
  <c r="N32" i="3"/>
  <c r="K31" i="3"/>
  <c r="L31" i="3"/>
  <c r="N31" i="3"/>
  <c r="G31" i="3"/>
  <c r="H31" i="3"/>
  <c r="O31" i="3"/>
  <c r="K30" i="3"/>
  <c r="L30" i="3"/>
  <c r="G30" i="3"/>
  <c r="H30" i="3"/>
  <c r="L29" i="3"/>
  <c r="N29" i="3" s="1"/>
  <c r="K29" i="3"/>
  <c r="G29" i="3"/>
  <c r="H29" i="3"/>
  <c r="O29" i="3"/>
  <c r="K28" i="3"/>
  <c r="L28" i="3"/>
  <c r="N28" i="3"/>
  <c r="G28" i="3"/>
  <c r="H28" i="3"/>
  <c r="O28" i="3"/>
  <c r="K27" i="3"/>
  <c r="G27" i="3"/>
  <c r="L26" i="3"/>
  <c r="N26" i="3" s="1"/>
  <c r="L24" i="3"/>
  <c r="H24" i="3"/>
  <c r="O24" i="3" s="1"/>
  <c r="L38" i="3"/>
  <c r="H38" i="3"/>
  <c r="N38" i="3"/>
  <c r="O38" i="3"/>
  <c r="L23" i="3"/>
  <c r="H23" i="3"/>
  <c r="L22" i="3"/>
  <c r="H22" i="3"/>
  <c r="G58" i="2"/>
  <c r="K58" i="2"/>
  <c r="L58" i="2"/>
  <c r="G57" i="2"/>
  <c r="H57" i="2"/>
  <c r="K57" i="2"/>
  <c r="L57" i="2"/>
  <c r="G56" i="2"/>
  <c r="K56" i="2"/>
  <c r="L56" i="2"/>
  <c r="H56" i="2"/>
  <c r="G55" i="2"/>
  <c r="H55" i="2"/>
  <c r="K55" i="2"/>
  <c r="L55" i="2"/>
  <c r="G54" i="2"/>
  <c r="K54" i="2"/>
  <c r="L54" i="2"/>
  <c r="K53" i="2"/>
  <c r="L53" i="2"/>
  <c r="G53" i="2"/>
  <c r="H53" i="2"/>
  <c r="L52" i="2"/>
  <c r="H52" i="2"/>
  <c r="K47" i="2"/>
  <c r="L47" i="2" s="1"/>
  <c r="G47" i="2"/>
  <c r="H47" i="2" s="1"/>
  <c r="L45" i="2"/>
  <c r="H45" i="2"/>
  <c r="K44" i="2"/>
  <c r="J44" i="2"/>
  <c r="G44" i="2"/>
  <c r="F44" i="2"/>
  <c r="K43" i="2"/>
  <c r="G43" i="2"/>
  <c r="H43" i="2"/>
  <c r="K42" i="2"/>
  <c r="L42" i="2"/>
  <c r="G42" i="2"/>
  <c r="H42" i="2"/>
  <c r="O42" i="2" s="1"/>
  <c r="K41" i="2"/>
  <c r="L41" i="2"/>
  <c r="N41" i="2" s="1"/>
  <c r="G41" i="2"/>
  <c r="H41" i="2"/>
  <c r="O41" i="2" s="1"/>
  <c r="K40" i="2"/>
  <c r="L40" i="2"/>
  <c r="N40" i="2" s="1"/>
  <c r="G40" i="2"/>
  <c r="H40" i="2"/>
  <c r="O40" i="2" s="1"/>
  <c r="K39" i="2"/>
  <c r="G39" i="2"/>
  <c r="H39" i="2"/>
  <c r="K36" i="2"/>
  <c r="L36" i="2"/>
  <c r="N36" i="2"/>
  <c r="G36" i="2"/>
  <c r="H36" i="2"/>
  <c r="K35" i="2"/>
  <c r="L35" i="2"/>
  <c r="G35" i="2"/>
  <c r="H35" i="2"/>
  <c r="N35" i="2"/>
  <c r="K34" i="2"/>
  <c r="L34" i="2"/>
  <c r="G34" i="2"/>
  <c r="H34" i="2"/>
  <c r="N34" i="2"/>
  <c r="O34" i="2"/>
  <c r="K33" i="2"/>
  <c r="L33" i="2"/>
  <c r="N33" i="2"/>
  <c r="G33" i="2"/>
  <c r="H33" i="2"/>
  <c r="O33" i="2"/>
  <c r="K32" i="2"/>
  <c r="L32" i="2"/>
  <c r="G32" i="2"/>
  <c r="H32" i="2"/>
  <c r="K31" i="2"/>
  <c r="L31" i="2"/>
  <c r="G31" i="2"/>
  <c r="H31" i="2"/>
  <c r="N31" i="2"/>
  <c r="K30" i="2"/>
  <c r="L30" i="2"/>
  <c r="N30" i="2"/>
  <c r="G30" i="2"/>
  <c r="H30" i="2"/>
  <c r="O30" i="2"/>
  <c r="K29" i="2"/>
  <c r="L29" i="2"/>
  <c r="N29" i="2"/>
  <c r="G29" i="2"/>
  <c r="H29" i="2"/>
  <c r="O29" i="2"/>
  <c r="K28" i="2"/>
  <c r="L28" i="2"/>
  <c r="G28" i="2"/>
  <c r="H28" i="2"/>
  <c r="K27" i="2"/>
  <c r="G27" i="2"/>
  <c r="H26" i="2"/>
  <c r="O26" i="2" s="1"/>
  <c r="L24" i="2"/>
  <c r="H24" i="2"/>
  <c r="L38" i="2"/>
  <c r="H38" i="2"/>
  <c r="L23" i="2"/>
  <c r="H23" i="2"/>
  <c r="L22" i="2"/>
  <c r="H22" i="2"/>
  <c r="N22" i="2" s="1"/>
  <c r="G56" i="1"/>
  <c r="G55" i="1"/>
  <c r="H55" i="1"/>
  <c r="G54" i="1"/>
  <c r="K54" i="1"/>
  <c r="L54" i="1"/>
  <c r="K44" i="1"/>
  <c r="J44" i="1"/>
  <c r="G44" i="1"/>
  <c r="H47" i="11"/>
  <c r="K56" i="11"/>
  <c r="L56" i="11"/>
  <c r="N56" i="11" s="1"/>
  <c r="O56" i="11" s="1"/>
  <c r="H55" i="10"/>
  <c r="H54" i="9"/>
  <c r="N54" i="9" s="1"/>
  <c r="G48" i="9"/>
  <c r="H58" i="12"/>
  <c r="N58" i="12" s="1"/>
  <c r="H58" i="11"/>
  <c r="N58" i="11" s="1"/>
  <c r="H57" i="11"/>
  <c r="N57" i="11" s="1"/>
  <c r="O57" i="11" s="1"/>
  <c r="O41" i="9"/>
  <c r="K56" i="9"/>
  <c r="L56" i="9"/>
  <c r="K48" i="9"/>
  <c r="L48" i="9" s="1"/>
  <c r="H47" i="7"/>
  <c r="K56" i="7"/>
  <c r="L56" i="7"/>
  <c r="N56" i="7" s="1"/>
  <c r="O56" i="7" s="1"/>
  <c r="K56" i="5"/>
  <c r="L56" i="5"/>
  <c r="K56" i="3"/>
  <c r="L56" i="3"/>
  <c r="N56" i="3" s="1"/>
  <c r="O56" i="3" s="1"/>
  <c r="K48" i="3"/>
  <c r="L48" i="3" s="1"/>
  <c r="N30" i="7"/>
  <c r="K57" i="7"/>
  <c r="L57" i="7"/>
  <c r="N57" i="7" s="1"/>
  <c r="K54" i="6"/>
  <c r="L54" i="6"/>
  <c r="N54" i="6" s="1"/>
  <c r="O54" i="6" s="1"/>
  <c r="G48" i="4"/>
  <c r="H48" i="4" s="1"/>
  <c r="H57" i="4"/>
  <c r="N57" i="4" s="1"/>
  <c r="K58" i="3"/>
  <c r="L58" i="3"/>
  <c r="N58" i="3" s="1"/>
  <c r="H54" i="2"/>
  <c r="H58" i="2"/>
  <c r="N58" i="2" s="1"/>
  <c r="O36" i="2"/>
  <c r="G51" i="9"/>
  <c r="H51" i="9" s="1"/>
  <c r="G50" i="9"/>
  <c r="H50" i="9" s="1"/>
  <c r="H48" i="9"/>
  <c r="L46" i="13"/>
  <c r="K49" i="13"/>
  <c r="L49" i="13" s="1"/>
  <c r="G49" i="13"/>
  <c r="H49" i="13" s="1"/>
  <c r="G47" i="13"/>
  <c r="H47" i="13" s="1"/>
  <c r="K42" i="17"/>
  <c r="K40" i="17"/>
  <c r="K39" i="17"/>
  <c r="L39" i="17"/>
  <c r="K38" i="17"/>
  <c r="G42" i="17"/>
  <c r="H42" i="17"/>
  <c r="G40" i="17"/>
  <c r="G39" i="17"/>
  <c r="H39" i="17"/>
  <c r="O39" i="17"/>
  <c r="G38" i="17"/>
  <c r="H38" i="17"/>
  <c r="G57" i="17"/>
  <c r="K57" i="17"/>
  <c r="G56" i="17"/>
  <c r="H56" i="17"/>
  <c r="K56" i="17"/>
  <c r="L56" i="17"/>
  <c r="N56" i="17"/>
  <c r="L55" i="17"/>
  <c r="H55" i="17"/>
  <c r="N55" i="17"/>
  <c r="L54" i="17"/>
  <c r="H54" i="17"/>
  <c r="O54" i="17"/>
  <c r="K52" i="17"/>
  <c r="L52" i="17"/>
  <c r="N52" i="17" s="1"/>
  <c r="O52" i="17" s="1"/>
  <c r="H52" i="17"/>
  <c r="G52" i="17"/>
  <c r="L51" i="17"/>
  <c r="N51" i="17" s="1"/>
  <c r="O51" i="17" s="1"/>
  <c r="H51" i="17"/>
  <c r="K50" i="17"/>
  <c r="L50" i="17" s="1"/>
  <c r="H49" i="17"/>
  <c r="L44" i="17"/>
  <c r="H44" i="17"/>
  <c r="K43" i="17"/>
  <c r="G43" i="17"/>
  <c r="F43" i="17"/>
  <c r="K41" i="17"/>
  <c r="G41" i="17"/>
  <c r="H41" i="17"/>
  <c r="L40" i="17"/>
  <c r="N40" i="17"/>
  <c r="H40" i="17"/>
  <c r="O40" i="17"/>
  <c r="K36" i="17"/>
  <c r="L36" i="17"/>
  <c r="G36" i="17"/>
  <c r="H36" i="17"/>
  <c r="O36" i="17"/>
  <c r="K35" i="17"/>
  <c r="L35" i="17"/>
  <c r="N35" i="17"/>
  <c r="G35" i="17"/>
  <c r="H35" i="17"/>
  <c r="O35" i="17"/>
  <c r="K34" i="17"/>
  <c r="L34" i="17"/>
  <c r="G34" i="17"/>
  <c r="H34" i="17"/>
  <c r="O34" i="17"/>
  <c r="K33" i="17"/>
  <c r="L33" i="17"/>
  <c r="N33" i="17"/>
  <c r="G33" i="17"/>
  <c r="H33" i="17"/>
  <c r="O33" i="17"/>
  <c r="K32" i="17"/>
  <c r="L32" i="17"/>
  <c r="N32" i="17"/>
  <c r="G32" i="17"/>
  <c r="H32" i="17"/>
  <c r="O32" i="17"/>
  <c r="K31" i="17"/>
  <c r="L31" i="17"/>
  <c r="N31" i="17"/>
  <c r="G31" i="17"/>
  <c r="H31" i="17"/>
  <c r="O31" i="17"/>
  <c r="K30" i="17"/>
  <c r="L30" i="17"/>
  <c r="N30" i="17"/>
  <c r="H30" i="17"/>
  <c r="O30" i="17"/>
  <c r="G30" i="17"/>
  <c r="K29" i="17"/>
  <c r="L29" i="17"/>
  <c r="G29" i="17"/>
  <c r="H29" i="17"/>
  <c r="O29" i="17"/>
  <c r="K28" i="17"/>
  <c r="L28" i="17"/>
  <c r="N28" i="17"/>
  <c r="G28" i="17"/>
  <c r="H28" i="17"/>
  <c r="O28" i="17"/>
  <c r="L26" i="17"/>
  <c r="H26" i="17"/>
  <c r="O26" i="17" s="1"/>
  <c r="L24" i="17"/>
  <c r="N24" i="17"/>
  <c r="H24" i="17"/>
  <c r="O24" i="17"/>
  <c r="L23" i="17"/>
  <c r="N23" i="17"/>
  <c r="H23" i="17"/>
  <c r="L22" i="17"/>
  <c r="H22" i="17"/>
  <c r="N22" i="17"/>
  <c r="G57" i="16"/>
  <c r="K57" i="16"/>
  <c r="F43" i="16"/>
  <c r="G56" i="16"/>
  <c r="H56" i="16"/>
  <c r="K56" i="16"/>
  <c r="L56" i="16" s="1"/>
  <c r="N56" i="16" s="1"/>
  <c r="O56" i="16" s="1"/>
  <c r="L55" i="16"/>
  <c r="N55" i="16" s="1"/>
  <c r="H55" i="16"/>
  <c r="O55" i="16"/>
  <c r="L54" i="16"/>
  <c r="H54" i="16"/>
  <c r="O54" i="16" s="1"/>
  <c r="L53" i="16"/>
  <c r="K52" i="16"/>
  <c r="L52" i="16"/>
  <c r="N52" i="16" s="1"/>
  <c r="O52" i="16" s="1"/>
  <c r="G52" i="16"/>
  <c r="H52" i="16"/>
  <c r="L51" i="16"/>
  <c r="N51" i="16" s="1"/>
  <c r="O51" i="16" s="1"/>
  <c r="H51" i="16"/>
  <c r="K50" i="16"/>
  <c r="L50" i="16" s="1"/>
  <c r="H49" i="16"/>
  <c r="K47" i="16"/>
  <c r="L47" i="16" s="1"/>
  <c r="H46" i="16"/>
  <c r="L44" i="16"/>
  <c r="H44" i="16"/>
  <c r="K43" i="16"/>
  <c r="G43" i="16"/>
  <c r="K42" i="16"/>
  <c r="G42" i="16"/>
  <c r="H42" i="16"/>
  <c r="H41" i="16"/>
  <c r="N41" i="16" s="1"/>
  <c r="O41" i="16" s="1"/>
  <c r="K40" i="16"/>
  <c r="L40" i="16"/>
  <c r="N40" i="16"/>
  <c r="G40" i="16"/>
  <c r="H40" i="16"/>
  <c r="O40" i="16"/>
  <c r="K39" i="16"/>
  <c r="L39" i="16"/>
  <c r="N39" i="16"/>
  <c r="G39" i="16"/>
  <c r="H39" i="16"/>
  <c r="O39" i="16"/>
  <c r="K38" i="16"/>
  <c r="K36" i="16"/>
  <c r="L36" i="16"/>
  <c r="G36" i="16"/>
  <c r="H36" i="16"/>
  <c r="O36" i="16"/>
  <c r="K35" i="16"/>
  <c r="L35" i="16"/>
  <c r="G35" i="16"/>
  <c r="H35" i="16"/>
  <c r="N35" i="16"/>
  <c r="K34" i="16"/>
  <c r="L34" i="16"/>
  <c r="G34" i="16"/>
  <c r="H34" i="16"/>
  <c r="O34" i="16"/>
  <c r="K33" i="16"/>
  <c r="L33" i="16"/>
  <c r="G33" i="16"/>
  <c r="H33" i="16"/>
  <c r="O33" i="16"/>
  <c r="K32" i="16"/>
  <c r="L32" i="16"/>
  <c r="G32" i="16"/>
  <c r="H32" i="16"/>
  <c r="N32" i="16"/>
  <c r="O32" i="16"/>
  <c r="K31" i="16"/>
  <c r="L31" i="16"/>
  <c r="N31" i="16"/>
  <c r="G31" i="16"/>
  <c r="H31" i="16"/>
  <c r="O31" i="16"/>
  <c r="K30" i="16"/>
  <c r="L30" i="16"/>
  <c r="G30" i="16"/>
  <c r="H30" i="16"/>
  <c r="K29" i="16"/>
  <c r="L29" i="16"/>
  <c r="N29" i="16"/>
  <c r="G29" i="16"/>
  <c r="H29" i="16"/>
  <c r="O29" i="16"/>
  <c r="K28" i="16"/>
  <c r="L28" i="16"/>
  <c r="N28" i="16"/>
  <c r="G28" i="16"/>
  <c r="H28" i="16"/>
  <c r="O28" i="16"/>
  <c r="G38" i="16"/>
  <c r="H38" i="16"/>
  <c r="H26" i="16"/>
  <c r="O26" i="16" s="1"/>
  <c r="L24" i="16"/>
  <c r="H24" i="16"/>
  <c r="N24" i="16"/>
  <c r="O24" i="16"/>
  <c r="L23" i="16"/>
  <c r="N23" i="16"/>
  <c r="H23" i="16"/>
  <c r="O23" i="16"/>
  <c r="L22" i="16"/>
  <c r="H22" i="16"/>
  <c r="N22" i="16"/>
  <c r="O22" i="16"/>
  <c r="H57" i="15"/>
  <c r="K56" i="15"/>
  <c r="L56" i="15" s="1"/>
  <c r="L55" i="15"/>
  <c r="N55" i="15" s="1"/>
  <c r="H55" i="15"/>
  <c r="O55" i="15" s="1"/>
  <c r="L54" i="15"/>
  <c r="N54" i="15" s="1"/>
  <c r="H54" i="15"/>
  <c r="O54" i="15" s="1"/>
  <c r="H53" i="15"/>
  <c r="K52" i="15"/>
  <c r="L52" i="15"/>
  <c r="N52" i="15" s="1"/>
  <c r="G52" i="15"/>
  <c r="H52" i="15" s="1"/>
  <c r="L51" i="15"/>
  <c r="N51" i="15" s="1"/>
  <c r="O51" i="15" s="1"/>
  <c r="H51" i="15"/>
  <c r="H49" i="15"/>
  <c r="L44" i="15"/>
  <c r="H44" i="15"/>
  <c r="K43" i="15"/>
  <c r="G43" i="15"/>
  <c r="K42" i="15"/>
  <c r="G42" i="15"/>
  <c r="H42" i="15" s="1"/>
  <c r="K40" i="15"/>
  <c r="L40" i="15" s="1"/>
  <c r="G40" i="15"/>
  <c r="H40" i="15" s="1"/>
  <c r="O40" i="15" s="1"/>
  <c r="K39" i="15"/>
  <c r="L39" i="15" s="1"/>
  <c r="G39" i="15"/>
  <c r="H39" i="15" s="1"/>
  <c r="O39" i="15" s="1"/>
  <c r="K38" i="15"/>
  <c r="K36" i="15"/>
  <c r="L36" i="15"/>
  <c r="G36" i="15"/>
  <c r="H36" i="15" s="1"/>
  <c r="O36" i="15" s="1"/>
  <c r="K35" i="15"/>
  <c r="L35" i="15"/>
  <c r="G35" i="15"/>
  <c r="H35" i="15" s="1"/>
  <c r="O35" i="15" s="1"/>
  <c r="K34" i="15"/>
  <c r="L34" i="15" s="1"/>
  <c r="G34" i="15"/>
  <c r="H34" i="15" s="1"/>
  <c r="O34" i="15" s="1"/>
  <c r="K33" i="15"/>
  <c r="L33" i="15"/>
  <c r="G33" i="15"/>
  <c r="H33" i="15" s="1"/>
  <c r="O33" i="15" s="1"/>
  <c r="K32" i="15"/>
  <c r="L32" i="15"/>
  <c r="G32" i="15"/>
  <c r="H32" i="15" s="1"/>
  <c r="O32" i="15" s="1"/>
  <c r="K31" i="15"/>
  <c r="L31" i="15"/>
  <c r="N31" i="15" s="1"/>
  <c r="G31" i="15"/>
  <c r="H31" i="15" s="1"/>
  <c r="O31" i="15" s="1"/>
  <c r="K30" i="15"/>
  <c r="L30" i="15"/>
  <c r="G30" i="15"/>
  <c r="H30" i="15"/>
  <c r="K29" i="15"/>
  <c r="L29" i="15"/>
  <c r="G29" i="15"/>
  <c r="H29" i="15"/>
  <c r="O29" i="15" s="1"/>
  <c r="K28" i="15"/>
  <c r="L28" i="15" s="1"/>
  <c r="N28" i="15" s="1"/>
  <c r="G28" i="15"/>
  <c r="H28" i="15"/>
  <c r="O28" i="15" s="1"/>
  <c r="G38" i="15"/>
  <c r="H38" i="15" s="1"/>
  <c r="L25" i="15"/>
  <c r="L24" i="15"/>
  <c r="N24" i="15"/>
  <c r="H24" i="15"/>
  <c r="O24" i="15"/>
  <c r="L23" i="15"/>
  <c r="H23" i="15"/>
  <c r="O23" i="15"/>
  <c r="L22" i="15"/>
  <c r="H22" i="15"/>
  <c r="O22" i="15" s="1"/>
  <c r="K57" i="14"/>
  <c r="H56" i="14"/>
  <c r="K56" i="14"/>
  <c r="L56" i="14" s="1"/>
  <c r="N56" i="14" s="1"/>
  <c r="O56" i="14" s="1"/>
  <c r="L55" i="14"/>
  <c r="N55" i="14" s="1"/>
  <c r="H55" i="14"/>
  <c r="O55" i="14" s="1"/>
  <c r="L54" i="14"/>
  <c r="H54" i="14"/>
  <c r="O54" i="14" s="1"/>
  <c r="H53" i="14"/>
  <c r="K52" i="14"/>
  <c r="L52" i="14"/>
  <c r="G52" i="14"/>
  <c r="H52" i="14"/>
  <c r="L51" i="14"/>
  <c r="H51" i="14"/>
  <c r="K50" i="14"/>
  <c r="L50" i="14" s="1"/>
  <c r="H49" i="14"/>
  <c r="L44" i="14"/>
  <c r="H44" i="14"/>
  <c r="K43" i="14"/>
  <c r="F43" i="14"/>
  <c r="H43" i="14" s="1"/>
  <c r="K42" i="14"/>
  <c r="H42" i="14"/>
  <c r="K40" i="14"/>
  <c r="L40" i="14"/>
  <c r="G40" i="14"/>
  <c r="H40" i="14"/>
  <c r="K39" i="14"/>
  <c r="L39" i="14"/>
  <c r="G39" i="14"/>
  <c r="H39" i="14"/>
  <c r="O39" i="14" s="1"/>
  <c r="K38" i="14"/>
  <c r="K36" i="14"/>
  <c r="L36" i="14"/>
  <c r="G36" i="14"/>
  <c r="H36" i="14"/>
  <c r="O36" i="14"/>
  <c r="K35" i="14"/>
  <c r="L35" i="14"/>
  <c r="G35" i="14"/>
  <c r="H35" i="14"/>
  <c r="O35" i="14" s="1"/>
  <c r="K34" i="14"/>
  <c r="L34" i="14"/>
  <c r="G34" i="14"/>
  <c r="H34" i="14"/>
  <c r="N34" i="14" s="1"/>
  <c r="O34" i="14"/>
  <c r="K33" i="14"/>
  <c r="L33" i="14"/>
  <c r="G33" i="14"/>
  <c r="H33" i="14"/>
  <c r="N33" i="14" s="1"/>
  <c r="K32" i="14"/>
  <c r="L32" i="14"/>
  <c r="G32" i="14"/>
  <c r="H32" i="14"/>
  <c r="O32" i="14"/>
  <c r="K31" i="14"/>
  <c r="L31" i="14"/>
  <c r="G31" i="14"/>
  <c r="H31" i="14"/>
  <c r="K30" i="14"/>
  <c r="L30" i="14"/>
  <c r="G30" i="14"/>
  <c r="H30" i="14"/>
  <c r="O30" i="14" s="1"/>
  <c r="K29" i="14"/>
  <c r="L29" i="14"/>
  <c r="N29" i="14" s="1"/>
  <c r="G29" i="14"/>
  <c r="H29" i="14"/>
  <c r="O29" i="14" s="1"/>
  <c r="K28" i="14"/>
  <c r="L28" i="14"/>
  <c r="N28" i="14"/>
  <c r="G28" i="14"/>
  <c r="H28" i="14"/>
  <c r="O28" i="14"/>
  <c r="H26" i="14"/>
  <c r="O26" i="14" s="1"/>
  <c r="L25" i="14"/>
  <c r="H25" i="14"/>
  <c r="L24" i="14"/>
  <c r="N24" i="14" s="1"/>
  <c r="H24" i="14"/>
  <c r="O24" i="14"/>
  <c r="L23" i="14"/>
  <c r="H23" i="14"/>
  <c r="L22" i="14"/>
  <c r="H22" i="14"/>
  <c r="O22" i="14" s="1"/>
  <c r="K50" i="13"/>
  <c r="L50" i="13" s="1"/>
  <c r="N34" i="16"/>
  <c r="H57" i="16"/>
  <c r="O57" i="16" s="1"/>
  <c r="L49" i="16"/>
  <c r="N49" i="16" s="1"/>
  <c r="O49" i="16" s="1"/>
  <c r="G50" i="16"/>
  <c r="H50" i="16" s="1"/>
  <c r="H56" i="15"/>
  <c r="L49" i="14"/>
  <c r="N49" i="14" s="1"/>
  <c r="O49" i="14" s="1"/>
  <c r="N32" i="14"/>
  <c r="N35" i="14"/>
  <c r="G52" i="13"/>
  <c r="H52" i="13"/>
  <c r="K42" i="13"/>
  <c r="K40" i="13"/>
  <c r="L40" i="13"/>
  <c r="K39" i="13"/>
  <c r="K38" i="13"/>
  <c r="G42" i="13"/>
  <c r="G40" i="13"/>
  <c r="H40" i="13"/>
  <c r="G39" i="13"/>
  <c r="H39" i="13"/>
  <c r="K57" i="13"/>
  <c r="J43" i="13"/>
  <c r="L43" i="13" s="1"/>
  <c r="L57" i="13"/>
  <c r="N57" i="13"/>
  <c r="K56" i="13"/>
  <c r="L56" i="13"/>
  <c r="H55" i="13"/>
  <c r="O55" i="13"/>
  <c r="L54" i="13"/>
  <c r="N54" i="13"/>
  <c r="K52" i="13"/>
  <c r="L52" i="13"/>
  <c r="L51" i="13"/>
  <c r="N51" i="13" s="1"/>
  <c r="O51" i="13" s="1"/>
  <c r="H51" i="13"/>
  <c r="L44" i="13"/>
  <c r="H44" i="13"/>
  <c r="F43" i="13"/>
  <c r="H43" i="13" s="1"/>
  <c r="H42" i="13"/>
  <c r="L39" i="13"/>
  <c r="K36" i="13"/>
  <c r="L36" i="13"/>
  <c r="N36" i="13"/>
  <c r="G36" i="13"/>
  <c r="H36" i="13"/>
  <c r="O36" i="13"/>
  <c r="K35" i="13"/>
  <c r="L35" i="13"/>
  <c r="N35" i="13"/>
  <c r="G35" i="13"/>
  <c r="H35" i="13"/>
  <c r="O35" i="13"/>
  <c r="K34" i="13"/>
  <c r="L34" i="13"/>
  <c r="N34" i="13"/>
  <c r="G34" i="13"/>
  <c r="H34" i="13"/>
  <c r="O34" i="13"/>
  <c r="K33" i="13"/>
  <c r="L33" i="13"/>
  <c r="N33" i="13"/>
  <c r="G33" i="13"/>
  <c r="H33" i="13"/>
  <c r="O33" i="13"/>
  <c r="K32" i="13"/>
  <c r="L32" i="13"/>
  <c r="N32" i="13"/>
  <c r="G32" i="13"/>
  <c r="H32" i="13"/>
  <c r="O32" i="13"/>
  <c r="K31" i="13"/>
  <c r="L31" i="13"/>
  <c r="G31" i="13"/>
  <c r="H31" i="13"/>
  <c r="K30" i="13"/>
  <c r="L30" i="13"/>
  <c r="G30" i="13"/>
  <c r="H30" i="13"/>
  <c r="O30" i="13"/>
  <c r="K29" i="13"/>
  <c r="L29" i="13"/>
  <c r="N29" i="13"/>
  <c r="G29" i="13"/>
  <c r="H29" i="13"/>
  <c r="O29" i="13"/>
  <c r="L28" i="13"/>
  <c r="K28" i="13"/>
  <c r="G28" i="13"/>
  <c r="H28" i="13"/>
  <c r="O28" i="13"/>
  <c r="H26" i="13"/>
  <c r="O26" i="13" s="1"/>
  <c r="L25" i="13"/>
  <c r="L24" i="13"/>
  <c r="H24" i="13"/>
  <c r="N24" i="13"/>
  <c r="O24" i="13"/>
  <c r="L23" i="13"/>
  <c r="N23" i="13"/>
  <c r="H23" i="13"/>
  <c r="L22" i="13"/>
  <c r="H22" i="13"/>
  <c r="O22" i="13" s="1"/>
  <c r="G58" i="8"/>
  <c r="K58" i="8"/>
  <c r="L58" i="8"/>
  <c r="G57" i="8"/>
  <c r="K57" i="8"/>
  <c r="L57" i="8"/>
  <c r="K53" i="8"/>
  <c r="L53" i="8"/>
  <c r="N53" i="8" s="1"/>
  <c r="O53" i="8" s="1"/>
  <c r="G53" i="8"/>
  <c r="H53" i="8"/>
  <c r="L52" i="8"/>
  <c r="H52" i="8"/>
  <c r="K47" i="8"/>
  <c r="K48" i="8" s="1"/>
  <c r="G47" i="8"/>
  <c r="G48" i="8" s="1"/>
  <c r="L45" i="8"/>
  <c r="H45" i="8"/>
  <c r="N45" i="8"/>
  <c r="J44" i="8"/>
  <c r="L44" i="8" s="1"/>
  <c r="F44" i="8"/>
  <c r="H44" i="8" s="1"/>
  <c r="K43" i="8"/>
  <c r="G43" i="8"/>
  <c r="H43" i="8"/>
  <c r="K42" i="8"/>
  <c r="L42" i="8"/>
  <c r="N42" i="8" s="1"/>
  <c r="G42" i="8"/>
  <c r="H42" i="8"/>
  <c r="O42" i="8" s="1"/>
  <c r="K41" i="8"/>
  <c r="L41" i="8"/>
  <c r="G41" i="8"/>
  <c r="H41" i="8"/>
  <c r="O41" i="8" s="1"/>
  <c r="K40" i="8"/>
  <c r="L40" i="8"/>
  <c r="N40" i="8" s="1"/>
  <c r="G40" i="8"/>
  <c r="H40" i="8"/>
  <c r="O40" i="8"/>
  <c r="K39" i="8"/>
  <c r="G39" i="8"/>
  <c r="H39" i="8"/>
  <c r="K36" i="8"/>
  <c r="L36" i="8"/>
  <c r="G36" i="8"/>
  <c r="H36" i="8"/>
  <c r="K35" i="8"/>
  <c r="L35" i="8"/>
  <c r="G35" i="8"/>
  <c r="H35" i="8"/>
  <c r="K34" i="8"/>
  <c r="L34" i="8"/>
  <c r="N34" i="8"/>
  <c r="G34" i="8"/>
  <c r="H34" i="8"/>
  <c r="O34" i="8"/>
  <c r="K33" i="8"/>
  <c r="L33" i="8"/>
  <c r="N33" i="8"/>
  <c r="G33" i="8"/>
  <c r="H33" i="8"/>
  <c r="O33" i="8"/>
  <c r="K32" i="8"/>
  <c r="L32" i="8"/>
  <c r="G32" i="8"/>
  <c r="H32" i="8"/>
  <c r="K31" i="8"/>
  <c r="L31" i="8"/>
  <c r="N31" i="8"/>
  <c r="G31" i="8"/>
  <c r="H31" i="8"/>
  <c r="O31" i="8"/>
  <c r="K30" i="8"/>
  <c r="L30" i="8"/>
  <c r="G30" i="8"/>
  <c r="H30" i="8"/>
  <c r="O30" i="8"/>
  <c r="K29" i="8"/>
  <c r="L29" i="8"/>
  <c r="G29" i="8"/>
  <c r="H29" i="8"/>
  <c r="O29" i="8"/>
  <c r="K28" i="8"/>
  <c r="L28" i="8"/>
  <c r="N28" i="8"/>
  <c r="G28" i="8"/>
  <c r="H28" i="8"/>
  <c r="O28" i="8"/>
  <c r="K27" i="8"/>
  <c r="G27" i="8"/>
  <c r="L26" i="8"/>
  <c r="N26" i="8" s="1"/>
  <c r="L24" i="8"/>
  <c r="H24" i="8"/>
  <c r="O24" i="8"/>
  <c r="L38" i="8"/>
  <c r="H38" i="8"/>
  <c r="O38" i="8"/>
  <c r="L23" i="8"/>
  <c r="H23" i="8"/>
  <c r="N23" i="8" s="1"/>
  <c r="L22" i="8"/>
  <c r="H22" i="8"/>
  <c r="G57" i="1"/>
  <c r="H57" i="1"/>
  <c r="J53" i="1"/>
  <c r="G38" i="13"/>
  <c r="H38" i="13"/>
  <c r="N39" i="13"/>
  <c r="O39" i="13"/>
  <c r="N52" i="13"/>
  <c r="O52" i="13" s="1"/>
  <c r="H57" i="13"/>
  <c r="O57" i="13"/>
  <c r="L55" i="13"/>
  <c r="N55" i="13"/>
  <c r="H54" i="13"/>
  <c r="O54" i="13"/>
  <c r="H56" i="13"/>
  <c r="O56" i="13"/>
  <c r="H58" i="8"/>
  <c r="G58" i="1"/>
  <c r="H58" i="1"/>
  <c r="O58" i="1" s="1"/>
  <c r="K58" i="1"/>
  <c r="L58" i="1"/>
  <c r="H56" i="1"/>
  <c r="K55" i="1"/>
  <c r="L55" i="1"/>
  <c r="N55" i="1" s="1"/>
  <c r="O55" i="1" s="1"/>
  <c r="H54" i="1"/>
  <c r="N54" i="1" s="1"/>
  <c r="K53" i="1"/>
  <c r="L53" i="1"/>
  <c r="N53" i="1"/>
  <c r="O53" i="1"/>
  <c r="G53" i="1"/>
  <c r="H53" i="1"/>
  <c r="L52" i="1"/>
  <c r="H52" i="1"/>
  <c r="N52" i="1"/>
  <c r="O52" i="1"/>
  <c r="K47" i="1"/>
  <c r="L47" i="1" s="1"/>
  <c r="G47" i="1"/>
  <c r="G48" i="1" s="1"/>
  <c r="L45" i="1"/>
  <c r="H45" i="1"/>
  <c r="N45" i="1"/>
  <c r="F44" i="1"/>
  <c r="H44" i="1" s="1"/>
  <c r="K43" i="1"/>
  <c r="G43" i="1"/>
  <c r="H43" i="1"/>
  <c r="K42" i="1"/>
  <c r="L42" i="1"/>
  <c r="G42" i="1"/>
  <c r="H42" i="1"/>
  <c r="N42" i="1" s="1"/>
  <c r="K41" i="1"/>
  <c r="L41" i="1"/>
  <c r="G41" i="1"/>
  <c r="H41" i="1"/>
  <c r="O41" i="1" s="1"/>
  <c r="K40" i="1"/>
  <c r="L40" i="1"/>
  <c r="G40" i="1"/>
  <c r="H40" i="1"/>
  <c r="N40" i="1" s="1"/>
  <c r="K39" i="1"/>
  <c r="G39" i="1"/>
  <c r="H39" i="1"/>
  <c r="N39" i="1" s="1"/>
  <c r="K36" i="1"/>
  <c r="L36" i="1"/>
  <c r="N36" i="1"/>
  <c r="G36" i="1"/>
  <c r="H36" i="1"/>
  <c r="O36" i="1"/>
  <c r="K35" i="1"/>
  <c r="L35" i="1"/>
  <c r="N35" i="1"/>
  <c r="G35" i="1"/>
  <c r="H35" i="1"/>
  <c r="O35" i="1"/>
  <c r="K34" i="1"/>
  <c r="L34" i="1"/>
  <c r="G34" i="1"/>
  <c r="H34" i="1"/>
  <c r="N34" i="1"/>
  <c r="O34" i="1"/>
  <c r="K33" i="1"/>
  <c r="L33" i="1"/>
  <c r="N33" i="1"/>
  <c r="G33" i="1"/>
  <c r="H33" i="1"/>
  <c r="O33" i="1"/>
  <c r="K32" i="1"/>
  <c r="L32" i="1"/>
  <c r="G32" i="1"/>
  <c r="H32" i="1"/>
  <c r="O32" i="1"/>
  <c r="K31" i="1"/>
  <c r="L31" i="1"/>
  <c r="N31" i="1"/>
  <c r="G31" i="1"/>
  <c r="H31" i="1"/>
  <c r="O31" i="1"/>
  <c r="K30" i="1"/>
  <c r="L30" i="1"/>
  <c r="N30" i="1"/>
  <c r="G30" i="1"/>
  <c r="H30" i="1"/>
  <c r="O30" i="1"/>
  <c r="K29" i="1"/>
  <c r="L29" i="1"/>
  <c r="G29" i="1"/>
  <c r="H29" i="1"/>
  <c r="O29" i="1"/>
  <c r="K28" i="1"/>
  <c r="L28" i="1"/>
  <c r="G28" i="1"/>
  <c r="H28" i="1"/>
  <c r="O28" i="1"/>
  <c r="K27" i="1"/>
  <c r="G27" i="1"/>
  <c r="L24" i="1"/>
  <c r="H24" i="1"/>
  <c r="O24" i="1" s="1"/>
  <c r="L38" i="1"/>
  <c r="N38" i="1"/>
  <c r="H38" i="1"/>
  <c r="O38" i="1"/>
  <c r="L23" i="1"/>
  <c r="H23" i="1"/>
  <c r="N23" i="1" s="1"/>
  <c r="O23" i="1" s="1"/>
  <c r="L22" i="1"/>
  <c r="N22" i="1"/>
  <c r="O22" i="1"/>
  <c r="H22" i="1"/>
  <c r="K56" i="1"/>
  <c r="L56" i="1"/>
  <c r="N56" i="1" s="1"/>
  <c r="O56" i="1" s="1"/>
  <c r="N54" i="17"/>
  <c r="L49" i="17"/>
  <c r="N49" i="17" s="1"/>
  <c r="O49" i="17" s="1"/>
  <c r="G50" i="17"/>
  <c r="H50" i="17" s="1"/>
  <c r="N54" i="16"/>
  <c r="G47" i="16"/>
  <c r="H47" i="16" s="1"/>
  <c r="H46" i="15"/>
  <c r="G50" i="14"/>
  <c r="H50" i="14" s="1"/>
  <c r="N56" i="13"/>
  <c r="K57" i="23"/>
  <c r="L57" i="23" s="1"/>
  <c r="N57" i="23" s="1"/>
  <c r="L49" i="23"/>
  <c r="O32" i="19"/>
  <c r="O23" i="17"/>
  <c r="N23" i="15"/>
  <c r="N22" i="19"/>
  <c r="N38" i="12"/>
  <c r="N38" i="11"/>
  <c r="N23" i="6"/>
  <c r="O23" i="6" s="1"/>
  <c r="N24" i="5"/>
  <c r="N23" i="3"/>
  <c r="O23" i="3"/>
  <c r="N38" i="2"/>
  <c r="N22" i="7"/>
  <c r="O24" i="5"/>
  <c r="O38" i="2"/>
  <c r="N28" i="12"/>
  <c r="H54" i="12"/>
  <c r="O40" i="10"/>
  <c r="N38" i="10"/>
  <c r="H56" i="10"/>
  <c r="N56" i="10" s="1"/>
  <c r="N35" i="9"/>
  <c r="N23" i="9"/>
  <c r="N52" i="8"/>
  <c r="O52" i="8" s="1"/>
  <c r="O33" i="7"/>
  <c r="N52" i="7"/>
  <c r="H57" i="6"/>
  <c r="N57" i="6" s="1"/>
  <c r="H47" i="5"/>
  <c r="K57" i="5"/>
  <c r="L57" i="5"/>
  <c r="N57" i="5" s="1"/>
  <c r="O57" i="5" s="1"/>
  <c r="K55" i="5"/>
  <c r="L55" i="5"/>
  <c r="N55" i="5" s="1"/>
  <c r="O55" i="5" s="1"/>
  <c r="N42" i="2"/>
  <c r="H47" i="1"/>
  <c r="N28" i="1"/>
  <c r="L44" i="4"/>
  <c r="L53" i="4"/>
  <c r="N53" i="4" s="1"/>
  <c r="G51" i="4"/>
  <c r="H51" i="4" s="1"/>
  <c r="O35" i="4"/>
  <c r="N29" i="4"/>
  <c r="K58" i="4"/>
  <c r="L58" i="4" s="1"/>
  <c r="N58" i="4" s="1"/>
  <c r="O58" i="4" s="1"/>
  <c r="G50" i="23"/>
  <c r="H50" i="23" s="1"/>
  <c r="H46" i="23"/>
  <c r="H57" i="8"/>
  <c r="N38" i="8"/>
  <c r="O38" i="4"/>
  <c r="N25" i="14"/>
  <c r="O25" i="14" s="1"/>
  <c r="O23" i="13"/>
  <c r="O40" i="11"/>
  <c r="O30" i="3"/>
  <c r="N30" i="3"/>
  <c r="O33" i="3"/>
  <c r="N55" i="10"/>
  <c r="N29" i="15"/>
  <c r="O30" i="15"/>
  <c r="N30" i="15"/>
  <c r="L49" i="15"/>
  <c r="N49" i="15" s="1"/>
  <c r="O49" i="15" s="1"/>
  <c r="K57" i="15"/>
  <c r="J43" i="15" s="1"/>
  <c r="L43" i="15" s="1"/>
  <c r="F43" i="15"/>
  <c r="H43" i="15" s="1"/>
  <c r="N32" i="23"/>
  <c r="N36" i="23"/>
  <c r="N23" i="23"/>
  <c r="N24" i="23"/>
  <c r="N22" i="23"/>
  <c r="O31" i="14"/>
  <c r="N31" i="14"/>
  <c r="N39" i="14"/>
  <c r="L57" i="14"/>
  <c r="J43" i="14"/>
  <c r="L43" i="14" s="1"/>
  <c r="N43" i="14" s="1"/>
  <c r="N30" i="14"/>
  <c r="N54" i="14"/>
  <c r="H57" i="14"/>
  <c r="H46" i="14"/>
  <c r="G38" i="14"/>
  <c r="H38" i="14"/>
  <c r="N29" i="19"/>
  <c r="O34" i="19"/>
  <c r="N34" i="19"/>
  <c r="O28" i="19"/>
  <c r="N28" i="19"/>
  <c r="N35" i="19"/>
  <c r="O31" i="19"/>
  <c r="N31" i="19"/>
  <c r="O33" i="19"/>
  <c r="H49" i="19"/>
  <c r="K53" i="19"/>
  <c r="L53" i="19"/>
  <c r="N53" i="19" s="1"/>
  <c r="O53" i="19" s="1"/>
  <c r="N24" i="19"/>
  <c r="N25" i="19"/>
  <c r="O25" i="19" s="1"/>
  <c r="N23" i="19"/>
  <c r="O40" i="13"/>
  <c r="N40" i="13"/>
  <c r="N25" i="13"/>
  <c r="O25" i="13" s="1"/>
  <c r="N30" i="13"/>
  <c r="N28" i="13"/>
  <c r="O31" i="13"/>
  <c r="N31" i="13"/>
  <c r="H46" i="13"/>
  <c r="K47" i="13"/>
  <c r="L47" i="13" s="1"/>
  <c r="G50" i="13"/>
  <c r="H50" i="13" s="1"/>
  <c r="N25" i="12"/>
  <c r="O25" i="12" s="1"/>
  <c r="N31" i="12"/>
  <c r="O31" i="12"/>
  <c r="N35" i="12"/>
  <c r="N42" i="12"/>
  <c r="N32" i="12"/>
  <c r="O32" i="12"/>
  <c r="H57" i="12"/>
  <c r="O24" i="12"/>
  <c r="H56" i="12"/>
  <c r="N22" i="12"/>
  <c r="O22" i="12"/>
  <c r="N29" i="11"/>
  <c r="N42" i="11"/>
  <c r="O32" i="11"/>
  <c r="N32" i="11"/>
  <c r="N28" i="11"/>
  <c r="O28" i="11"/>
  <c r="O35" i="11"/>
  <c r="N35" i="11"/>
  <c r="N31" i="11"/>
  <c r="K54" i="11"/>
  <c r="L54" i="11"/>
  <c r="N54" i="11" s="1"/>
  <c r="O54" i="11" s="1"/>
  <c r="N24" i="11"/>
  <c r="H55" i="11"/>
  <c r="N36" i="10"/>
  <c r="O36" i="10"/>
  <c r="N41" i="10"/>
  <c r="N34" i="10"/>
  <c r="N24" i="10"/>
  <c r="O30" i="10"/>
  <c r="K54" i="10"/>
  <c r="L54" i="10"/>
  <c r="N54" i="10" s="1"/>
  <c r="O54" i="10" s="1"/>
  <c r="H57" i="10"/>
  <c r="N23" i="10"/>
  <c r="O23" i="10" s="1"/>
  <c r="N40" i="10"/>
  <c r="N42" i="10"/>
  <c r="H58" i="10"/>
  <c r="N25" i="9"/>
  <c r="O25" i="9" s="1"/>
  <c r="N55" i="9"/>
  <c r="O55" i="9" s="1"/>
  <c r="N30" i="9"/>
  <c r="O30" i="9"/>
  <c r="N56" i="9"/>
  <c r="O56" i="9" s="1"/>
  <c r="O22" i="9"/>
  <c r="N40" i="9"/>
  <c r="O40" i="9"/>
  <c r="N22" i="9"/>
  <c r="N32" i="9"/>
  <c r="H57" i="9"/>
  <c r="N34" i="9"/>
  <c r="O36" i="8"/>
  <c r="N36" i="8"/>
  <c r="O35" i="8"/>
  <c r="N35" i="8"/>
  <c r="N30" i="8"/>
  <c r="N54" i="8"/>
  <c r="O54" i="8" s="1"/>
  <c r="N29" i="8"/>
  <c r="O32" i="8"/>
  <c r="N32" i="8"/>
  <c r="N22" i="8"/>
  <c r="N41" i="8"/>
  <c r="H55" i="8"/>
  <c r="N24" i="8"/>
  <c r="N25" i="7"/>
  <c r="O25" i="7" s="1"/>
  <c r="N55" i="7"/>
  <c r="O55" i="7" s="1"/>
  <c r="N40" i="7"/>
  <c r="N25" i="6"/>
  <c r="N33" i="6"/>
  <c r="O33" i="6"/>
  <c r="N40" i="6"/>
  <c r="O25" i="6"/>
  <c r="K48" i="6"/>
  <c r="N52" i="6"/>
  <c r="O52" i="6" s="1"/>
  <c r="O32" i="6"/>
  <c r="H55" i="6"/>
  <c r="N55" i="6" s="1"/>
  <c r="O55" i="6" s="1"/>
  <c r="N56" i="5"/>
  <c r="O56" i="5" s="1"/>
  <c r="N22" i="5"/>
  <c r="O22" i="5"/>
  <c r="H54" i="5"/>
  <c r="N54" i="5" s="1"/>
  <c r="O54" i="5" s="1"/>
  <c r="N42" i="5"/>
  <c r="N54" i="4"/>
  <c r="O54" i="4" s="1"/>
  <c r="N40" i="4"/>
  <c r="N32" i="4"/>
  <c r="O32" i="4"/>
  <c r="O55" i="4"/>
  <c r="N28" i="4"/>
  <c r="H56" i="4"/>
  <c r="N23" i="4"/>
  <c r="O23" i="4"/>
  <c r="O41" i="4"/>
  <c r="N33" i="4"/>
  <c r="N40" i="3"/>
  <c r="O40" i="3"/>
  <c r="N36" i="3"/>
  <c r="O36" i="3"/>
  <c r="K51" i="3"/>
  <c r="L51" i="3" s="1"/>
  <c r="O32" i="3"/>
  <c r="K55" i="3"/>
  <c r="L55" i="3"/>
  <c r="N55" i="3" s="1"/>
  <c r="O55" i="3" s="1"/>
  <c r="N42" i="3"/>
  <c r="N22" i="3"/>
  <c r="O22" i="3"/>
  <c r="O32" i="2"/>
  <c r="N32" i="2"/>
  <c r="N57" i="2"/>
  <c r="O57" i="2" s="1"/>
  <c r="O28" i="2"/>
  <c r="N28" i="2"/>
  <c r="N52" i="2"/>
  <c r="O52" i="2"/>
  <c r="O31" i="2"/>
  <c r="O35" i="2"/>
  <c r="K48" i="2"/>
  <c r="L48" i="2" s="1"/>
  <c r="N25" i="2"/>
  <c r="O25" i="2" s="1"/>
  <c r="N58" i="1"/>
  <c r="N25" i="1"/>
  <c r="O25" i="1" s="1"/>
  <c r="N29" i="1"/>
  <c r="N32" i="1"/>
  <c r="K57" i="1"/>
  <c r="L57" i="1"/>
  <c r="N57" i="1" s="1"/>
  <c r="O57" i="1" s="1"/>
  <c r="O30" i="16"/>
  <c r="N30" i="16"/>
  <c r="L57" i="16"/>
  <c r="N57" i="16" s="1"/>
  <c r="J43" i="16"/>
  <c r="L43" i="16" s="1"/>
  <c r="N36" i="16"/>
  <c r="N53" i="16"/>
  <c r="O53" i="16" s="1"/>
  <c r="N33" i="16"/>
  <c r="O35" i="16"/>
  <c r="L57" i="17"/>
  <c r="J43" i="17"/>
  <c r="L43" i="17" s="1"/>
  <c r="N29" i="17"/>
  <c r="N53" i="17"/>
  <c r="O53" i="17" s="1"/>
  <c r="N34" i="17"/>
  <c r="N25" i="17"/>
  <c r="O25" i="17" s="1"/>
  <c r="N39" i="17"/>
  <c r="O56" i="17"/>
  <c r="O22" i="17"/>
  <c r="O55" i="17"/>
  <c r="H57" i="17"/>
  <c r="O57" i="17"/>
  <c r="N36" i="17"/>
  <c r="N56" i="12"/>
  <c r="O56" i="12"/>
  <c r="N57" i="12"/>
  <c r="O57" i="12" s="1"/>
  <c r="N55" i="11"/>
  <c r="O55" i="11" s="1"/>
  <c r="N58" i="10"/>
  <c r="O58" i="10" s="1"/>
  <c r="N57" i="10"/>
  <c r="O57" i="10" s="1"/>
  <c r="N57" i="9"/>
  <c r="O57" i="9" s="1"/>
  <c r="N55" i="8"/>
  <c r="K51" i="6"/>
  <c r="L51" i="6" s="1"/>
  <c r="L48" i="6"/>
  <c r="K50" i="6"/>
  <c r="L50" i="6" s="1"/>
  <c r="N56" i="4"/>
  <c r="O56" i="4" s="1"/>
  <c r="N57" i="17"/>
  <c r="N26" i="13"/>
  <c r="N39" i="11"/>
  <c r="O39" i="11" s="1"/>
  <c r="N57" i="14" l="1"/>
  <c r="O57" i="14" s="1"/>
  <c r="N53" i="14"/>
  <c r="O53" i="14" s="1"/>
  <c r="N26" i="17"/>
  <c r="N26" i="16"/>
  <c r="N25" i="8"/>
  <c r="N25" i="3"/>
  <c r="N24" i="4"/>
  <c r="K50" i="2"/>
  <c r="L50" i="2" s="1"/>
  <c r="N22" i="13"/>
  <c r="N22" i="15"/>
  <c r="N22" i="11"/>
  <c r="N22" i="10"/>
  <c r="H43" i="17"/>
  <c r="H43" i="16"/>
  <c r="N43" i="16"/>
  <c r="O43" i="16" s="1"/>
  <c r="H43" i="23"/>
  <c r="H46" i="19"/>
  <c r="N49" i="13"/>
  <c r="O49" i="13" s="1"/>
  <c r="G48" i="12"/>
  <c r="G51" i="11"/>
  <c r="H51" i="11" s="1"/>
  <c r="G50" i="11"/>
  <c r="H50" i="11" s="1"/>
  <c r="H48" i="11"/>
  <c r="H44" i="11"/>
  <c r="H48" i="10"/>
  <c r="G50" i="10"/>
  <c r="H50" i="10" s="1"/>
  <c r="G51" i="10"/>
  <c r="H51" i="10" s="1"/>
  <c r="H47" i="10"/>
  <c r="H44" i="9"/>
  <c r="N41" i="4"/>
  <c r="N34" i="4"/>
  <c r="N31" i="4"/>
  <c r="N30" i="4"/>
  <c r="L57" i="15"/>
  <c r="N57" i="15" s="1"/>
  <c r="N43" i="15"/>
  <c r="N53" i="15"/>
  <c r="O53" i="15" s="1"/>
  <c r="N56" i="15"/>
  <c r="O56" i="15" s="1"/>
  <c r="L46" i="19"/>
  <c r="L44" i="12"/>
  <c r="L46" i="17"/>
  <c r="N46" i="17" s="1"/>
  <c r="O46" i="17" s="1"/>
  <c r="K51" i="2"/>
  <c r="L51" i="2" s="1"/>
  <c r="N40" i="15"/>
  <c r="O40" i="1"/>
  <c r="O41" i="3"/>
  <c r="N43" i="17"/>
  <c r="O43" i="17" s="1"/>
  <c r="N50" i="17"/>
  <c r="O50" i="17" s="1"/>
  <c r="N41" i="17"/>
  <c r="O41" i="17" s="1"/>
  <c r="N38" i="17"/>
  <c r="O38" i="17" s="1"/>
  <c r="N50" i="16"/>
  <c r="O50" i="16" s="1"/>
  <c r="N47" i="16"/>
  <c r="O47" i="16" s="1"/>
  <c r="N38" i="16"/>
  <c r="O38" i="16" s="1"/>
  <c r="L46" i="16"/>
  <c r="N46" i="16" s="1"/>
  <c r="O46" i="16" s="1"/>
  <c r="N50" i="15"/>
  <c r="N52" i="14"/>
  <c r="O52" i="14" s="1"/>
  <c r="N51" i="14"/>
  <c r="O51" i="14" s="1"/>
  <c r="O51" i="23"/>
  <c r="N52" i="23"/>
  <c r="N22" i="14"/>
  <c r="N36" i="14"/>
  <c r="N23" i="14"/>
  <c r="N40" i="14"/>
  <c r="N33" i="23"/>
  <c r="O43" i="14"/>
  <c r="N46" i="14"/>
  <c r="O46" i="14" s="1"/>
  <c r="N50" i="14"/>
  <c r="O50" i="14" s="1"/>
  <c r="N53" i="23"/>
  <c r="O53" i="23" s="1"/>
  <c r="O40" i="14"/>
  <c r="N26" i="14"/>
  <c r="O33" i="14"/>
  <c r="N38" i="14"/>
  <c r="O38" i="14" s="1"/>
  <c r="O23" i="14"/>
  <c r="N41" i="14"/>
  <c r="O41" i="14" s="1"/>
  <c r="N40" i="23"/>
  <c r="N25" i="23"/>
  <c r="O33" i="23"/>
  <c r="N52" i="19"/>
  <c r="O52" i="19" s="1"/>
  <c r="N51" i="19"/>
  <c r="L43" i="19"/>
  <c r="N43" i="19" s="1"/>
  <c r="O43" i="19" s="1"/>
  <c r="O51" i="19"/>
  <c r="N49" i="19"/>
  <c r="O49" i="19" s="1"/>
  <c r="N47" i="19"/>
  <c r="O47" i="19" s="1"/>
  <c r="N46" i="19"/>
  <c r="O46" i="19" s="1"/>
  <c r="N41" i="19"/>
  <c r="O41" i="19" s="1"/>
  <c r="N38" i="19"/>
  <c r="O38" i="19" s="1"/>
  <c r="L47" i="17"/>
  <c r="N47" i="17" s="1"/>
  <c r="O47" i="17" s="1"/>
  <c r="K47" i="14"/>
  <c r="L47" i="14" s="1"/>
  <c r="N47" i="14" s="1"/>
  <c r="O47" i="14" s="1"/>
  <c r="K50" i="19"/>
  <c r="L50" i="19" s="1"/>
  <c r="N50" i="19" s="1"/>
  <c r="O50" i="19" s="1"/>
  <c r="N50" i="13"/>
  <c r="O50" i="13" s="1"/>
  <c r="K48" i="12"/>
  <c r="K48" i="11"/>
  <c r="N47" i="11"/>
  <c r="O47" i="11" s="1"/>
  <c r="L44" i="11"/>
  <c r="L44" i="10"/>
  <c r="N44" i="10" s="1"/>
  <c r="K48" i="10"/>
  <c r="N47" i="10"/>
  <c r="O47" i="10" s="1"/>
  <c r="K51" i="9"/>
  <c r="L51" i="9" s="1"/>
  <c r="K50" i="9"/>
  <c r="L50" i="9" s="1"/>
  <c r="N50" i="9" s="1"/>
  <c r="O50" i="9" s="1"/>
  <c r="L44" i="9"/>
  <c r="N53" i="13"/>
  <c r="O53" i="13" s="1"/>
  <c r="N43" i="13"/>
  <c r="O43" i="13" s="1"/>
  <c r="N46" i="13"/>
  <c r="O46" i="13" s="1"/>
  <c r="N47" i="13"/>
  <c r="O47" i="13" s="1"/>
  <c r="N44" i="17"/>
  <c r="N44" i="16"/>
  <c r="N44" i="15"/>
  <c r="N44" i="14"/>
  <c r="N44" i="23"/>
  <c r="N44" i="13"/>
  <c r="N41" i="13"/>
  <c r="O41" i="13" s="1"/>
  <c r="N38" i="13"/>
  <c r="O38" i="13" s="1"/>
  <c r="N33" i="15"/>
  <c r="N36" i="15"/>
  <c r="O57" i="15"/>
  <c r="O50" i="15"/>
  <c r="O43" i="15"/>
  <c r="N34" i="15"/>
  <c r="O52" i="15"/>
  <c r="N32" i="15"/>
  <c r="N35" i="15"/>
  <c r="N25" i="15"/>
  <c r="O25" i="15" s="1"/>
  <c r="N39" i="15"/>
  <c r="L46" i="15"/>
  <c r="N46" i="15" s="1"/>
  <c r="O46" i="15" s="1"/>
  <c r="L47" i="15"/>
  <c r="N47" i="15" s="1"/>
  <c r="O47" i="15" s="1"/>
  <c r="H27" i="15"/>
  <c r="L26" i="15"/>
  <c r="N26" i="15" s="1"/>
  <c r="L38" i="15"/>
  <c r="N38" i="15" s="1"/>
  <c r="O38" i="15" s="1"/>
  <c r="L41" i="15"/>
  <c r="N41" i="15" s="1"/>
  <c r="O41" i="15" s="1"/>
  <c r="O25" i="23"/>
  <c r="N39" i="23"/>
  <c r="L26" i="23"/>
  <c r="N26" i="23" s="1"/>
  <c r="L38" i="23"/>
  <c r="N38" i="23" s="1"/>
  <c r="O38" i="23" s="1"/>
  <c r="H27" i="23"/>
  <c r="L41" i="23"/>
  <c r="N41" i="23" s="1"/>
  <c r="O41" i="23" s="1"/>
  <c r="L46" i="23"/>
  <c r="N46" i="23" s="1"/>
  <c r="O46" i="23" s="1"/>
  <c r="L47" i="23"/>
  <c r="N47" i="23" s="1"/>
  <c r="O47" i="23" s="1"/>
  <c r="N49" i="23"/>
  <c r="O49" i="23" s="1"/>
  <c r="O57" i="23"/>
  <c r="N50" i="23"/>
  <c r="O50" i="23" s="1"/>
  <c r="J43" i="23"/>
  <c r="L43" i="23" s="1"/>
  <c r="N43" i="23" s="1"/>
  <c r="O43" i="23" s="1"/>
  <c r="N31" i="23"/>
  <c r="K56" i="23"/>
  <c r="L56" i="23" s="1"/>
  <c r="N56" i="23" s="1"/>
  <c r="O56" i="23" s="1"/>
  <c r="O52" i="23"/>
  <c r="N34" i="23"/>
  <c r="N45" i="11"/>
  <c r="N53" i="10"/>
  <c r="N40" i="12"/>
  <c r="N35" i="10"/>
  <c r="N52" i="12"/>
  <c r="O52" i="12" s="1"/>
  <c r="N23" i="12"/>
  <c r="O23" i="12" s="1"/>
  <c r="N45" i="12"/>
  <c r="N53" i="12"/>
  <c r="O53" i="12" s="1"/>
  <c r="N24" i="12"/>
  <c r="N55" i="12"/>
  <c r="O55" i="12" s="1"/>
  <c r="N36" i="11"/>
  <c r="N40" i="11"/>
  <c r="N25" i="11"/>
  <c r="N41" i="11"/>
  <c r="N30" i="11"/>
  <c r="N53" i="11"/>
  <c r="O53" i="11" s="1"/>
  <c r="N28" i="10"/>
  <c r="O55" i="10"/>
  <c r="N25" i="10"/>
  <c r="N29" i="10"/>
  <c r="N45" i="10"/>
  <c r="N52" i="10"/>
  <c r="O52" i="10" s="1"/>
  <c r="N58" i="9"/>
  <c r="O58" i="9" s="1"/>
  <c r="N53" i="9"/>
  <c r="N52" i="9"/>
  <c r="O52" i="9" s="1"/>
  <c r="N51" i="9"/>
  <c r="O51" i="9" s="1"/>
  <c r="N45" i="9"/>
  <c r="N44" i="12"/>
  <c r="O44" i="12" s="1"/>
  <c r="N54" i="12"/>
  <c r="O54" i="12" s="1"/>
  <c r="N47" i="12"/>
  <c r="O47" i="12" s="1"/>
  <c r="O58" i="12"/>
  <c r="N52" i="11"/>
  <c r="O52" i="11" s="1"/>
  <c r="O58" i="11"/>
  <c r="O44" i="10"/>
  <c r="O53" i="10"/>
  <c r="O56" i="10"/>
  <c r="N33" i="12"/>
  <c r="O40" i="12"/>
  <c r="N41" i="12"/>
  <c r="N30" i="12"/>
  <c r="N26" i="12"/>
  <c r="N39" i="12"/>
  <c r="O39" i="12" s="1"/>
  <c r="O41" i="11"/>
  <c r="N26" i="11"/>
  <c r="O25" i="11"/>
  <c r="O23" i="11"/>
  <c r="N31" i="10"/>
  <c r="O33" i="10"/>
  <c r="N26" i="10"/>
  <c r="O29" i="10"/>
  <c r="O25" i="10"/>
  <c r="O28" i="10"/>
  <c r="O35" i="10"/>
  <c r="N39" i="10"/>
  <c r="O39" i="10" s="1"/>
  <c r="O23" i="9"/>
  <c r="N44" i="9"/>
  <c r="O44" i="9" s="1"/>
  <c r="O54" i="9"/>
  <c r="O53" i="9"/>
  <c r="N48" i="9"/>
  <c r="O48" i="9" s="1"/>
  <c r="N47" i="9"/>
  <c r="O47" i="9" s="1"/>
  <c r="N39" i="9"/>
  <c r="O39" i="9" s="1"/>
  <c r="N58" i="8"/>
  <c r="N56" i="8"/>
  <c r="O56" i="8" s="1"/>
  <c r="L48" i="8"/>
  <c r="N48" i="8" s="1"/>
  <c r="O48" i="8" s="1"/>
  <c r="K51" i="8"/>
  <c r="L51" i="8" s="1"/>
  <c r="N51" i="8" s="1"/>
  <c r="O51" i="8" s="1"/>
  <c r="K50" i="8"/>
  <c r="L50" i="8" s="1"/>
  <c r="L47" i="8"/>
  <c r="G51" i="8"/>
  <c r="H51" i="8" s="1"/>
  <c r="H48" i="8"/>
  <c r="G50" i="8"/>
  <c r="H50" i="8" s="1"/>
  <c r="H47" i="8"/>
  <c r="O55" i="8"/>
  <c r="N57" i="8"/>
  <c r="O57" i="8" s="1"/>
  <c r="O58" i="8"/>
  <c r="N44" i="8"/>
  <c r="O44" i="8" s="1"/>
  <c r="N39" i="8"/>
  <c r="O39" i="8" s="1"/>
  <c r="O25" i="8"/>
  <c r="O23" i="8"/>
  <c r="N45" i="4"/>
  <c r="N24" i="7"/>
  <c r="N23" i="7"/>
  <c r="O23" i="7" s="1"/>
  <c r="N42" i="7"/>
  <c r="N41" i="6"/>
  <c r="N42" i="6"/>
  <c r="N41" i="5"/>
  <c r="N25" i="5"/>
  <c r="N23" i="5"/>
  <c r="N25" i="4"/>
  <c r="N42" i="4"/>
  <c r="N56" i="2"/>
  <c r="N45" i="2"/>
  <c r="N24" i="2"/>
  <c r="G50" i="7"/>
  <c r="H50" i="7" s="1"/>
  <c r="H48" i="7"/>
  <c r="G51" i="7"/>
  <c r="H51" i="7" s="1"/>
  <c r="K48" i="7"/>
  <c r="H44" i="7"/>
  <c r="G48" i="6"/>
  <c r="H44" i="6"/>
  <c r="N44" i="6" s="1"/>
  <c r="O44" i="6" s="1"/>
  <c r="H48" i="5"/>
  <c r="G51" i="5"/>
  <c r="H51" i="5" s="1"/>
  <c r="G50" i="5"/>
  <c r="H50" i="5" s="1"/>
  <c r="H44" i="5"/>
  <c r="L44" i="5"/>
  <c r="N44" i="5" s="1"/>
  <c r="O44" i="5" s="1"/>
  <c r="K48" i="5"/>
  <c r="K48" i="4"/>
  <c r="G50" i="4"/>
  <c r="H50" i="4" s="1"/>
  <c r="H44" i="4"/>
  <c r="G51" i="3"/>
  <c r="H51" i="3" s="1"/>
  <c r="H48" i="3"/>
  <c r="N48" i="3" s="1"/>
  <c r="O48" i="3" s="1"/>
  <c r="G50" i="3"/>
  <c r="H50" i="3" s="1"/>
  <c r="K50" i="3"/>
  <c r="L50" i="3" s="1"/>
  <c r="N50" i="3" s="1"/>
  <c r="O50" i="3" s="1"/>
  <c r="H47" i="3"/>
  <c r="N47" i="3" s="1"/>
  <c r="O47" i="3" s="1"/>
  <c r="L44" i="3"/>
  <c r="N58" i="7"/>
  <c r="O58" i="7" s="1"/>
  <c r="O52" i="7"/>
  <c r="O57" i="7"/>
  <c r="N53" i="7"/>
  <c r="O53" i="7" s="1"/>
  <c r="N53" i="6"/>
  <c r="O56" i="6"/>
  <c r="N58" i="6"/>
  <c r="O58" i="6" s="1"/>
  <c r="N53" i="5"/>
  <c r="O53" i="5" s="1"/>
  <c r="N58" i="5"/>
  <c r="O58" i="5" s="1"/>
  <c r="N52" i="4"/>
  <c r="O52" i="4" s="1"/>
  <c r="O53" i="4"/>
  <c r="O52" i="3"/>
  <c r="N57" i="3"/>
  <c r="O57" i="3" s="1"/>
  <c r="N51" i="3"/>
  <c r="O51" i="3" s="1"/>
  <c r="N44" i="7"/>
  <c r="O44" i="7" s="1"/>
  <c r="N47" i="7"/>
  <c r="O47" i="7" s="1"/>
  <c r="O57" i="6"/>
  <c r="O53" i="6"/>
  <c r="N47" i="6"/>
  <c r="O47" i="6" s="1"/>
  <c r="N47" i="5"/>
  <c r="O47" i="5" s="1"/>
  <c r="O52" i="5"/>
  <c r="N44" i="4"/>
  <c r="O44" i="4" s="1"/>
  <c r="O57" i="4"/>
  <c r="N47" i="4"/>
  <c r="O47" i="4" s="1"/>
  <c r="N44" i="3"/>
  <c r="O44" i="3" s="1"/>
  <c r="N53" i="3"/>
  <c r="O53" i="3" s="1"/>
  <c r="N41" i="7"/>
  <c r="O42" i="7"/>
  <c r="N39" i="7"/>
  <c r="O39" i="7" s="1"/>
  <c r="N39" i="6"/>
  <c r="O39" i="6" s="1"/>
  <c r="O42" i="6"/>
  <c r="N39" i="5"/>
  <c r="O39" i="5" s="1"/>
  <c r="O41" i="5"/>
  <c r="N40" i="5"/>
  <c r="O42" i="4"/>
  <c r="N39" i="4"/>
  <c r="O39" i="4" s="1"/>
  <c r="N39" i="3"/>
  <c r="O39" i="3" s="1"/>
  <c r="N26" i="7"/>
  <c r="O24" i="7"/>
  <c r="N24" i="6"/>
  <c r="N26" i="6"/>
  <c r="O23" i="5"/>
  <c r="O25" i="5"/>
  <c r="N26" i="5"/>
  <c r="O25" i="4"/>
  <c r="N24" i="3"/>
  <c r="O25" i="3"/>
  <c r="L44" i="2"/>
  <c r="H44" i="2"/>
  <c r="G48" i="2"/>
  <c r="N53" i="2"/>
  <c r="O53" i="2" s="1"/>
  <c r="N55" i="2"/>
  <c r="O55" i="2" s="1"/>
  <c r="O58" i="2"/>
  <c r="O56" i="2"/>
  <c r="N54" i="2"/>
  <c r="O54" i="2" s="1"/>
  <c r="N47" i="2"/>
  <c r="O47" i="2" s="1"/>
  <c r="N39" i="2"/>
  <c r="O39" i="2" s="1"/>
  <c r="N26" i="2"/>
  <c r="O24" i="2"/>
  <c r="N23" i="2"/>
  <c r="O23" i="2" s="1"/>
  <c r="O22" i="2"/>
  <c r="L44" i="1"/>
  <c r="N44" i="1" s="1"/>
  <c r="O44" i="1" s="1"/>
  <c r="O54" i="1"/>
  <c r="H48" i="1"/>
  <c r="G50" i="1"/>
  <c r="H50" i="1" s="1"/>
  <c r="G51" i="1"/>
  <c r="H51" i="1" s="1"/>
  <c r="N47" i="1"/>
  <c r="O47" i="1" s="1"/>
  <c r="K48" i="1"/>
  <c r="N41" i="1"/>
  <c r="O42" i="1"/>
  <c r="O39" i="1"/>
  <c r="N26" i="1"/>
  <c r="N24" i="1"/>
  <c r="H37" i="7"/>
  <c r="H37" i="14"/>
  <c r="H45" i="14" s="1"/>
  <c r="H37" i="17"/>
  <c r="H45" i="17" s="1"/>
  <c r="H48" i="17" s="1"/>
  <c r="H37" i="1"/>
  <c r="H37" i="3"/>
  <c r="H37" i="8"/>
  <c r="H37" i="12"/>
  <c r="H37" i="23"/>
  <c r="H37" i="2"/>
  <c r="H37" i="4"/>
  <c r="H37" i="5"/>
  <c r="H37" i="6"/>
  <c r="H37" i="9"/>
  <c r="H37" i="10"/>
  <c r="H37" i="13"/>
  <c r="H37" i="15"/>
  <c r="H37" i="11"/>
  <c r="H37" i="19"/>
  <c r="H37" i="16"/>
  <c r="G51" i="12" l="1"/>
  <c r="H51" i="12" s="1"/>
  <c r="H48" i="12"/>
  <c r="G50" i="12"/>
  <c r="H50" i="12" s="1"/>
  <c r="N44" i="11"/>
  <c r="O44" i="11" s="1"/>
  <c r="N47" i="8"/>
  <c r="O47" i="8" s="1"/>
  <c r="K51" i="12"/>
  <c r="L51" i="12" s="1"/>
  <c r="N51" i="12" s="1"/>
  <c r="O51" i="12" s="1"/>
  <c r="K50" i="12"/>
  <c r="L50" i="12" s="1"/>
  <c r="N50" i="12" s="1"/>
  <c r="O50" i="12" s="1"/>
  <c r="L48" i="12"/>
  <c r="N48" i="12" s="1"/>
  <c r="O48" i="12" s="1"/>
  <c r="L48" i="11"/>
  <c r="N48" i="11" s="1"/>
  <c r="O48" i="11" s="1"/>
  <c r="K51" i="11"/>
  <c r="L51" i="11" s="1"/>
  <c r="N51" i="11" s="1"/>
  <c r="O51" i="11" s="1"/>
  <c r="K50" i="11"/>
  <c r="L50" i="11" s="1"/>
  <c r="N50" i="11" s="1"/>
  <c r="O50" i="11" s="1"/>
  <c r="L48" i="10"/>
  <c r="N48" i="10" s="1"/>
  <c r="O48" i="10" s="1"/>
  <c r="K51" i="10"/>
  <c r="L51" i="10" s="1"/>
  <c r="N51" i="10" s="1"/>
  <c r="O51" i="10" s="1"/>
  <c r="K50" i="10"/>
  <c r="L50" i="10" s="1"/>
  <c r="N50" i="10" s="1"/>
  <c r="O50" i="10" s="1"/>
  <c r="N50" i="8"/>
  <c r="O50" i="8" s="1"/>
  <c r="K51" i="7"/>
  <c r="L51" i="7" s="1"/>
  <c r="N51" i="7" s="1"/>
  <c r="O51" i="7" s="1"/>
  <c r="K50" i="7"/>
  <c r="L50" i="7" s="1"/>
  <c r="N50" i="7" s="1"/>
  <c r="O50" i="7" s="1"/>
  <c r="L48" i="7"/>
  <c r="N48" i="7"/>
  <c r="O48" i="7" s="1"/>
  <c r="G50" i="6"/>
  <c r="H50" i="6" s="1"/>
  <c r="N50" i="6" s="1"/>
  <c r="O50" i="6" s="1"/>
  <c r="H48" i="6"/>
  <c r="N48" i="6" s="1"/>
  <c r="O48" i="6" s="1"/>
  <c r="G51" i="6"/>
  <c r="H51" i="6" s="1"/>
  <c r="N51" i="6" s="1"/>
  <c r="O51" i="6" s="1"/>
  <c r="L48" i="5"/>
  <c r="N48" i="5" s="1"/>
  <c r="O48" i="5" s="1"/>
  <c r="K51" i="5"/>
  <c r="L51" i="5" s="1"/>
  <c r="N51" i="5" s="1"/>
  <c r="O51" i="5" s="1"/>
  <c r="K50" i="5"/>
  <c r="L50" i="5" s="1"/>
  <c r="N50" i="5" s="1"/>
  <c r="O50" i="5" s="1"/>
  <c r="L48" i="4"/>
  <c r="N48" i="4" s="1"/>
  <c r="O48" i="4" s="1"/>
  <c r="K50" i="4"/>
  <c r="L50" i="4" s="1"/>
  <c r="N50" i="4" s="1"/>
  <c r="O50" i="4" s="1"/>
  <c r="K51" i="4"/>
  <c r="L51" i="4" s="1"/>
  <c r="N51" i="4" s="1"/>
  <c r="O51" i="4" s="1"/>
  <c r="N44" i="2"/>
  <c r="O44" i="2" s="1"/>
  <c r="H48" i="2"/>
  <c r="N48" i="2" s="1"/>
  <c r="O48" i="2" s="1"/>
  <c r="G51" i="2"/>
  <c r="H51" i="2" s="1"/>
  <c r="N51" i="2" s="1"/>
  <c r="O51" i="2" s="1"/>
  <c r="G50" i="2"/>
  <c r="H50" i="2" s="1"/>
  <c r="N50" i="2" s="1"/>
  <c r="O50" i="2" s="1"/>
  <c r="K51" i="1"/>
  <c r="L51" i="1" s="1"/>
  <c r="N51" i="1" s="1"/>
  <c r="O51" i="1" s="1"/>
  <c r="K50" i="1"/>
  <c r="L50" i="1" s="1"/>
  <c r="N50" i="1" s="1"/>
  <c r="O50" i="1" s="1"/>
  <c r="L48" i="1"/>
  <c r="N48" i="1" s="1"/>
  <c r="O48" i="1" s="1"/>
  <c r="H46" i="7"/>
  <c r="H49" i="7" s="1"/>
  <c r="H45" i="23"/>
  <c r="H46" i="3"/>
  <c r="H65" i="17"/>
  <c r="H59" i="17"/>
  <c r="H45" i="19"/>
  <c r="H46" i="11"/>
  <c r="H45" i="15"/>
  <c r="H46" i="10"/>
  <c r="H46" i="6"/>
  <c r="H46" i="5"/>
  <c r="H46" i="2"/>
  <c r="H46" i="4"/>
  <c r="H46" i="8"/>
  <c r="H45" i="16"/>
  <c r="H48" i="14"/>
  <c r="H46" i="12"/>
  <c r="H45" i="13"/>
  <c r="H46" i="9"/>
  <c r="H46" i="1"/>
  <c r="H49" i="4" l="1"/>
  <c r="H49" i="1"/>
  <c r="H49" i="9"/>
  <c r="H48" i="13"/>
  <c r="H65" i="14"/>
  <c r="H59" i="14"/>
  <c r="H48" i="16"/>
  <c r="H49" i="2"/>
  <c r="H49" i="6"/>
  <c r="H48" i="15"/>
  <c r="H65" i="15" s="1"/>
  <c r="H49" i="11"/>
  <c r="H60" i="17"/>
  <c r="H61" i="17" s="1"/>
  <c r="H48" i="23"/>
  <c r="H60" i="7"/>
  <c r="H66" i="7"/>
  <c r="H66" i="17"/>
  <c r="H49" i="12"/>
  <c r="H49" i="8"/>
  <c r="H48" i="19"/>
  <c r="H49" i="5"/>
  <c r="H49" i="10"/>
  <c r="H49" i="3"/>
  <c r="H61" i="7" l="1"/>
  <c r="H60" i="14"/>
  <c r="H66" i="8"/>
  <c r="H60" i="8"/>
  <c r="H59" i="23"/>
  <c r="H65" i="23"/>
  <c r="H60" i="11"/>
  <c r="H66" i="11"/>
  <c r="H66" i="6"/>
  <c r="H60" i="6"/>
  <c r="H60" i="4"/>
  <c r="H66" i="4"/>
  <c r="H62" i="17"/>
  <c r="H63" i="17" s="1"/>
  <c r="H66" i="14"/>
  <c r="H66" i="9"/>
  <c r="H60" i="9"/>
  <c r="H59" i="19"/>
  <c r="H65" i="19"/>
  <c r="H66" i="10"/>
  <c r="H60" i="10"/>
  <c r="H66" i="1"/>
  <c r="H60" i="1"/>
  <c r="H60" i="3"/>
  <c r="H66" i="3"/>
  <c r="H60" i="5"/>
  <c r="H66" i="5"/>
  <c r="H60" i="12"/>
  <c r="H66" i="12"/>
  <c r="H67" i="17"/>
  <c r="H67" i="7"/>
  <c r="H59" i="15"/>
  <c r="H66" i="2"/>
  <c r="H60" i="2"/>
  <c r="H59" i="16"/>
  <c r="H65" i="16"/>
  <c r="H59" i="13"/>
  <c r="H65" i="13"/>
  <c r="H66" i="13" l="1"/>
  <c r="H61" i="10"/>
  <c r="H60" i="19"/>
  <c r="H67" i="4"/>
  <c r="H68" i="4" s="1"/>
  <c r="H67" i="6"/>
  <c r="H61" i="8"/>
  <c r="H60" i="16"/>
  <c r="H67" i="5"/>
  <c r="H61" i="1"/>
  <c r="H67" i="10"/>
  <c r="H68" i="10" s="1"/>
  <c r="H66" i="23"/>
  <c r="H67" i="23" s="1"/>
  <c r="H61" i="2"/>
  <c r="H62" i="2" s="1"/>
  <c r="H60" i="15"/>
  <c r="H69" i="17"/>
  <c r="H61" i="5"/>
  <c r="H62" i="5" s="1"/>
  <c r="H67" i="1"/>
  <c r="H66" i="19"/>
  <c r="H67" i="19" s="1"/>
  <c r="H67" i="9"/>
  <c r="H68" i="9" s="1"/>
  <c r="H67" i="11"/>
  <c r="H68" i="11" s="1"/>
  <c r="H60" i="23"/>
  <c r="H61" i="23" s="1"/>
  <c r="H66" i="16"/>
  <c r="H66" i="15"/>
  <c r="H61" i="12"/>
  <c r="H61" i="3"/>
  <c r="H60" i="13"/>
  <c r="H61" i="9"/>
  <c r="H62" i="9" s="1"/>
  <c r="H61" i="4"/>
  <c r="H67" i="8"/>
  <c r="H68" i="8" s="1"/>
  <c r="H67" i="2"/>
  <c r="H68" i="2" s="1"/>
  <c r="H68" i="7"/>
  <c r="H67" i="12"/>
  <c r="H68" i="12" s="1"/>
  <c r="H67" i="3"/>
  <c r="H68" i="3" s="1"/>
  <c r="H67" i="14"/>
  <c r="H61" i="6"/>
  <c r="H61" i="11"/>
  <c r="H61" i="14"/>
  <c r="H62" i="7"/>
  <c r="H69" i="7" l="1"/>
  <c r="H70" i="7" s="1"/>
  <c r="H63" i="9"/>
  <c r="H64" i="9" s="1"/>
  <c r="H69" i="19"/>
  <c r="H63" i="5"/>
  <c r="H63" i="2"/>
  <c r="H64" i="2" s="1"/>
  <c r="H69" i="10"/>
  <c r="H70" i="10" s="1"/>
  <c r="H69" i="4"/>
  <c r="H63" i="7"/>
  <c r="H69" i="3"/>
  <c r="H70" i="3" s="1"/>
  <c r="H69" i="12"/>
  <c r="H70" i="12" s="1"/>
  <c r="H69" i="2"/>
  <c r="H69" i="8"/>
  <c r="H62" i="4"/>
  <c r="H62" i="23"/>
  <c r="H63" i="23" s="1"/>
  <c r="H69" i="11"/>
  <c r="H70" i="11" s="1"/>
  <c r="H69" i="9"/>
  <c r="G44" i="24"/>
  <c r="G25" i="28" s="1"/>
  <c r="H69" i="23"/>
  <c r="G37" i="24" s="1"/>
  <c r="H62" i="10"/>
  <c r="H62" i="14"/>
  <c r="H63" i="14" s="1"/>
  <c r="H67" i="16"/>
  <c r="H68" i="1"/>
  <c r="H61" i="15"/>
  <c r="H62" i="8"/>
  <c r="H67" i="13"/>
  <c r="H62" i="11"/>
  <c r="H62" i="6"/>
  <c r="H69" i="14"/>
  <c r="H61" i="13"/>
  <c r="H62" i="3"/>
  <c r="H62" i="12"/>
  <c r="H67" i="15"/>
  <c r="H62" i="1"/>
  <c r="H68" i="5"/>
  <c r="H61" i="16"/>
  <c r="H68" i="6"/>
  <c r="H61" i="19"/>
  <c r="H69" i="5" l="1"/>
  <c r="H70" i="5" s="1"/>
  <c r="G35" i="24"/>
  <c r="G28" i="24"/>
  <c r="G16" i="28" s="1"/>
  <c r="H63" i="1"/>
  <c r="H63" i="3"/>
  <c r="H62" i="15"/>
  <c r="H63" i="4"/>
  <c r="H69" i="6"/>
  <c r="H69" i="1"/>
  <c r="H70" i="1" s="1"/>
  <c r="H63" i="12"/>
  <c r="G38" i="24"/>
  <c r="H63" i="6"/>
  <c r="H64" i="6" s="1"/>
  <c r="H63" i="8"/>
  <c r="H63" i="10"/>
  <c r="H62" i="13"/>
  <c r="H63" i="13" s="1"/>
  <c r="H63" i="11"/>
  <c r="H64" i="11" s="1"/>
  <c r="H64" i="7"/>
  <c r="G19" i="24"/>
  <c r="H64" i="5"/>
  <c r="H62" i="19"/>
  <c r="H63" i="19" s="1"/>
  <c r="H62" i="16"/>
  <c r="H63" i="16" s="1"/>
  <c r="H69" i="16"/>
  <c r="G47" i="24" s="1"/>
  <c r="H70" i="9"/>
  <c r="H70" i="8"/>
  <c r="H70" i="2"/>
  <c r="H70" i="4"/>
  <c r="G23" i="24" l="1"/>
  <c r="H69" i="15"/>
  <c r="G22" i="24"/>
  <c r="G24" i="24"/>
  <c r="G30" i="24"/>
  <c r="H64" i="12"/>
  <c r="H70" i="6"/>
  <c r="H64" i="10"/>
  <c r="H64" i="8"/>
  <c r="H69" i="13"/>
  <c r="H64" i="4"/>
  <c r="H63" i="15"/>
  <c r="H64" i="3"/>
  <c r="H64" i="1"/>
  <c r="G18" i="24" l="1"/>
  <c r="G27" i="24"/>
  <c r="G20" i="24"/>
  <c r="G34" i="24"/>
  <c r="G29" i="24"/>
  <c r="G41" i="24"/>
  <c r="G22" i="28" s="1"/>
  <c r="G21" i="24"/>
  <c r="G13" i="28" s="1"/>
  <c r="G31" i="24"/>
  <c r="L42" i="13" l="1"/>
  <c r="N42" i="13" s="1"/>
  <c r="O42" i="13" s="1"/>
  <c r="L42" i="19"/>
  <c r="N42" i="19" s="1"/>
  <c r="O42" i="19" s="1"/>
  <c r="L42" i="15"/>
  <c r="N42" i="15" s="1"/>
  <c r="O42" i="15" s="1"/>
  <c r="L42" i="16"/>
  <c r="N42" i="16" s="1"/>
  <c r="O42" i="16" s="1"/>
  <c r="L42" i="14"/>
  <c r="N42" i="14" s="1"/>
  <c r="O42" i="14" s="1"/>
  <c r="L42" i="23"/>
  <c r="N42" i="23" s="1"/>
  <c r="O42" i="23" s="1"/>
  <c r="L43" i="10" l="1"/>
  <c r="N43" i="10" s="1"/>
  <c r="O43" i="10" s="1"/>
  <c r="L43" i="11"/>
  <c r="N43" i="11" s="1"/>
  <c r="O43" i="11" s="1"/>
  <c r="L43" i="12"/>
  <c r="N43" i="12" s="1"/>
  <c r="O43" i="12" s="1"/>
  <c r="L43" i="9"/>
  <c r="N43" i="9" s="1"/>
  <c r="O43" i="9" s="1"/>
  <c r="L43" i="8"/>
  <c r="N43" i="8" s="1"/>
  <c r="O43" i="8" s="1"/>
  <c r="L42" i="17"/>
  <c r="N42" i="17" s="1"/>
  <c r="O42" i="17" s="1"/>
  <c r="L43" i="2" l="1"/>
  <c r="N43" i="2" s="1"/>
  <c r="O43" i="2" s="1"/>
  <c r="L43" i="5"/>
  <c r="N43" i="5" s="1"/>
  <c r="O43" i="5" s="1"/>
  <c r="L43" i="1"/>
  <c r="N43" i="1" s="1"/>
  <c r="O43" i="1" s="1"/>
  <c r="L43" i="3"/>
  <c r="N43" i="3" s="1"/>
  <c r="O43" i="3" s="1"/>
  <c r="L43" i="6"/>
  <c r="N43" i="6" s="1"/>
  <c r="O43" i="6" s="1"/>
  <c r="L43" i="7"/>
  <c r="N43" i="7" s="1"/>
  <c r="O43" i="7" s="1"/>
  <c r="L43" i="4"/>
  <c r="N43" i="4" s="1"/>
  <c r="O43" i="4" s="1"/>
  <c r="L21" i="12" l="1"/>
  <c r="L21" i="8"/>
  <c r="L21" i="11"/>
  <c r="L21" i="10"/>
  <c r="L21" i="9"/>
  <c r="L21" i="17"/>
  <c r="L21" i="16"/>
  <c r="L21" i="19" l="1"/>
  <c r="L21" i="13"/>
  <c r="N21" i="10"/>
  <c r="O21" i="10" s="1"/>
  <c r="N21" i="16"/>
  <c r="O21" i="16" s="1"/>
  <c r="N21" i="11"/>
  <c r="O21" i="11" s="1"/>
  <c r="N21" i="8"/>
  <c r="O21" i="8" s="1"/>
  <c r="N21" i="17"/>
  <c r="O21" i="17" s="1"/>
  <c r="N21" i="9"/>
  <c r="O21" i="9" s="1"/>
  <c r="N21" i="12"/>
  <c r="O21" i="12" s="1"/>
  <c r="L27" i="17"/>
  <c r="N27" i="17" s="1"/>
  <c r="O27" i="17" s="1"/>
  <c r="L27" i="16"/>
  <c r="N27" i="16" s="1"/>
  <c r="O27" i="16" s="1"/>
  <c r="L37" i="17" l="1"/>
  <c r="L27" i="13"/>
  <c r="N27" i="13" s="1"/>
  <c r="O27" i="13" s="1"/>
  <c r="L27" i="19"/>
  <c r="N27" i="19" s="1"/>
  <c r="O27" i="19" s="1"/>
  <c r="L37" i="16"/>
  <c r="N21" i="13"/>
  <c r="O21" i="13" s="1"/>
  <c r="L21" i="6"/>
  <c r="L21" i="5"/>
  <c r="L21" i="2"/>
  <c r="L21" i="3"/>
  <c r="L21" i="7"/>
  <c r="L21" i="1"/>
  <c r="L21" i="4"/>
  <c r="N21" i="19"/>
  <c r="O21" i="19" s="1"/>
  <c r="L37" i="19"/>
  <c r="L37" i="13" l="1"/>
  <c r="N37" i="13" s="1"/>
  <c r="O37" i="13" s="1"/>
  <c r="K34" i="24" s="1"/>
  <c r="N21" i="1"/>
  <c r="O21" i="1" s="1"/>
  <c r="N21" i="5"/>
  <c r="O21" i="5" s="1"/>
  <c r="L45" i="16"/>
  <c r="N37" i="16"/>
  <c r="O37" i="16" s="1"/>
  <c r="K47" i="24" s="1"/>
  <c r="N37" i="19"/>
  <c r="O37" i="19" s="1"/>
  <c r="K35" i="24" s="1"/>
  <c r="L45" i="19"/>
  <c r="N21" i="7"/>
  <c r="O21" i="7" s="1"/>
  <c r="N21" i="6"/>
  <c r="O21" i="6" s="1"/>
  <c r="N21" i="3"/>
  <c r="O21" i="3" s="1"/>
  <c r="N21" i="4"/>
  <c r="O21" i="4" s="1"/>
  <c r="N21" i="2"/>
  <c r="O21" i="2" s="1"/>
  <c r="L45" i="17"/>
  <c r="N37" i="17"/>
  <c r="O37" i="17" s="1"/>
  <c r="K44" i="24" s="1"/>
  <c r="K25" i="28" s="1"/>
  <c r="L21" i="15"/>
  <c r="L45" i="13" l="1"/>
  <c r="L48" i="13" s="1"/>
  <c r="N21" i="15"/>
  <c r="O21" i="15" s="1"/>
  <c r="L48" i="19"/>
  <c r="N45" i="19"/>
  <c r="O45" i="19" s="1"/>
  <c r="L27" i="8"/>
  <c r="L27" i="9"/>
  <c r="L27" i="10"/>
  <c r="L27" i="12"/>
  <c r="L27" i="11"/>
  <c r="L21" i="14"/>
  <c r="L21" i="23"/>
  <c r="L48" i="17"/>
  <c r="N45" i="17"/>
  <c r="O45" i="17" s="1"/>
  <c r="L48" i="16"/>
  <c r="N45" i="16"/>
  <c r="O45" i="16" s="1"/>
  <c r="L27" i="15"/>
  <c r="N27" i="15" s="1"/>
  <c r="O27" i="15" s="1"/>
  <c r="N45" i="13" l="1"/>
  <c r="O45" i="13" s="1"/>
  <c r="L27" i="14"/>
  <c r="N27" i="14" s="1"/>
  <c r="O27" i="14" s="1"/>
  <c r="L27" i="23"/>
  <c r="N27" i="23" s="1"/>
  <c r="O27" i="23" s="1"/>
  <c r="L65" i="16"/>
  <c r="L59" i="16"/>
  <c r="N48" i="16"/>
  <c r="O48" i="16" s="1"/>
  <c r="N21" i="14"/>
  <c r="O21" i="14" s="1"/>
  <c r="L37" i="14"/>
  <c r="N27" i="9"/>
  <c r="O27" i="9" s="1"/>
  <c r="L37" i="9"/>
  <c r="L65" i="13"/>
  <c r="L59" i="13"/>
  <c r="N48" i="13"/>
  <c r="O48" i="13" s="1"/>
  <c r="N27" i="11"/>
  <c r="O27" i="11" s="1"/>
  <c r="L37" i="11"/>
  <c r="N27" i="8"/>
  <c r="O27" i="8" s="1"/>
  <c r="L37" i="8"/>
  <c r="N48" i="17"/>
  <c r="O48" i="17" s="1"/>
  <c r="L59" i="17"/>
  <c r="L65" i="17"/>
  <c r="N27" i="12"/>
  <c r="O27" i="12" s="1"/>
  <c r="L37" i="12"/>
  <c r="L37" i="15"/>
  <c r="N21" i="23"/>
  <c r="O21" i="23" s="1"/>
  <c r="N27" i="10"/>
  <c r="O27" i="10" s="1"/>
  <c r="L37" i="10"/>
  <c r="N48" i="19"/>
  <c r="O48" i="19" s="1"/>
  <c r="L59" i="19"/>
  <c r="L65" i="19"/>
  <c r="L37" i="23" l="1"/>
  <c r="L66" i="17"/>
  <c r="N66" i="17" s="1"/>
  <c r="O66" i="17" s="1"/>
  <c r="N65" i="17"/>
  <c r="O65" i="17" s="1"/>
  <c r="L60" i="13"/>
  <c r="N60" i="13" s="1"/>
  <c r="O60" i="13" s="1"/>
  <c r="N59" i="13"/>
  <c r="O59" i="13" s="1"/>
  <c r="L45" i="14"/>
  <c r="N37" i="14"/>
  <c r="O37" i="14" s="1"/>
  <c r="K38" i="24" s="1"/>
  <c r="L66" i="16"/>
  <c r="N66" i="16" s="1"/>
  <c r="O66" i="16" s="1"/>
  <c r="N65" i="16"/>
  <c r="O65" i="16" s="1"/>
  <c r="L46" i="10"/>
  <c r="N37" i="10"/>
  <c r="O37" i="10" s="1"/>
  <c r="K29" i="24" s="1"/>
  <c r="N37" i="15"/>
  <c r="O37" i="15" s="1"/>
  <c r="K41" i="24" s="1"/>
  <c r="K22" i="28" s="1"/>
  <c r="L45" i="15"/>
  <c r="L60" i="17"/>
  <c r="N60" i="17" s="1"/>
  <c r="O60" i="17" s="1"/>
  <c r="N59" i="17"/>
  <c r="O59" i="17" s="1"/>
  <c r="L46" i="11"/>
  <c r="N37" i="11"/>
  <c r="O37" i="11" s="1"/>
  <c r="K30" i="24" s="1"/>
  <c r="L66" i="13"/>
  <c r="N66" i="13" s="1"/>
  <c r="O66" i="13" s="1"/>
  <c r="N65" i="13"/>
  <c r="O65" i="13" s="1"/>
  <c r="L66" i="19"/>
  <c r="N66" i="19" s="1"/>
  <c r="O66" i="19" s="1"/>
  <c r="N65" i="19"/>
  <c r="O65" i="19" s="1"/>
  <c r="L46" i="12"/>
  <c r="N37" i="12"/>
  <c r="O37" i="12" s="1"/>
  <c r="K31" i="24" s="1"/>
  <c r="L46" i="9"/>
  <c r="N37" i="9"/>
  <c r="O37" i="9" s="1"/>
  <c r="K28" i="24" s="1"/>
  <c r="K16" i="28" s="1"/>
  <c r="N59" i="19"/>
  <c r="O59" i="19" s="1"/>
  <c r="L60" i="19"/>
  <c r="N60" i="19" s="1"/>
  <c r="O60" i="19" s="1"/>
  <c r="L45" i="23"/>
  <c r="N37" i="23"/>
  <c r="O37" i="23" s="1"/>
  <c r="K37" i="24" s="1"/>
  <c r="N37" i="8"/>
  <c r="O37" i="8" s="1"/>
  <c r="K27" i="24" s="1"/>
  <c r="L46" i="8"/>
  <c r="L60" i="16"/>
  <c r="N60" i="16" s="1"/>
  <c r="O60" i="16" s="1"/>
  <c r="N59" i="16"/>
  <c r="O59" i="16" s="1"/>
  <c r="L67" i="13" l="1"/>
  <c r="N67" i="13" s="1"/>
  <c r="O67" i="13" s="1"/>
  <c r="L67" i="16"/>
  <c r="N67" i="16" s="1"/>
  <c r="O67" i="16" s="1"/>
  <c r="L27" i="6"/>
  <c r="L27" i="2"/>
  <c r="L27" i="1"/>
  <c r="L27" i="4"/>
  <c r="L27" i="3"/>
  <c r="L27" i="7"/>
  <c r="L27" i="5"/>
  <c r="N46" i="10"/>
  <c r="O46" i="10" s="1"/>
  <c r="L49" i="10"/>
  <c r="L48" i="23"/>
  <c r="N45" i="23"/>
  <c r="O45" i="23" s="1"/>
  <c r="N46" i="12"/>
  <c r="O46" i="12" s="1"/>
  <c r="L49" i="12"/>
  <c r="L49" i="11"/>
  <c r="N46" i="11"/>
  <c r="O46" i="11" s="1"/>
  <c r="N45" i="15"/>
  <c r="O45" i="15" s="1"/>
  <c r="L48" i="15"/>
  <c r="L48" i="14"/>
  <c r="N45" i="14"/>
  <c r="O45" i="14" s="1"/>
  <c r="L67" i="17"/>
  <c r="N46" i="8"/>
  <c r="O46" i="8" s="1"/>
  <c r="L49" i="8"/>
  <c r="L61" i="19"/>
  <c r="L67" i="19"/>
  <c r="L61" i="17"/>
  <c r="L61" i="13"/>
  <c r="L61" i="16"/>
  <c r="L49" i="9"/>
  <c r="N46" i="9"/>
  <c r="O46" i="9" s="1"/>
  <c r="N68" i="13" l="1"/>
  <c r="O68" i="13" s="1"/>
  <c r="N68" i="16"/>
  <c r="O68" i="16" s="1"/>
  <c r="L69" i="16"/>
  <c r="N61" i="13"/>
  <c r="O61" i="13" s="1"/>
  <c r="L62" i="13"/>
  <c r="N62" i="13" s="1"/>
  <c r="O62" i="13" s="1"/>
  <c r="N49" i="8"/>
  <c r="O49" i="8" s="1"/>
  <c r="L66" i="8"/>
  <c r="L60" i="8"/>
  <c r="L65" i="14"/>
  <c r="L59" i="14"/>
  <c r="N48" i="14"/>
  <c r="O48" i="14" s="1"/>
  <c r="L65" i="15"/>
  <c r="L59" i="15"/>
  <c r="N48" i="15"/>
  <c r="O48" i="15" s="1"/>
  <c r="L69" i="13"/>
  <c r="N27" i="4"/>
  <c r="O27" i="4" s="1"/>
  <c r="L37" i="4"/>
  <c r="N61" i="17"/>
  <c r="O61" i="17" s="1"/>
  <c r="L62" i="17"/>
  <c r="N62" i="17" s="1"/>
  <c r="O62" i="17" s="1"/>
  <c r="N27" i="5"/>
  <c r="O27" i="5" s="1"/>
  <c r="L37" i="5"/>
  <c r="N27" i="1"/>
  <c r="O27" i="1" s="1"/>
  <c r="L37" i="1"/>
  <c r="L60" i="9"/>
  <c r="N49" i="9"/>
  <c r="O49" i="9" s="1"/>
  <c r="L66" i="9"/>
  <c r="N68" i="19"/>
  <c r="O68" i="19" s="1"/>
  <c r="N67" i="19"/>
  <c r="O67" i="19" s="1"/>
  <c r="N68" i="17"/>
  <c r="O68" i="17" s="1"/>
  <c r="N67" i="17"/>
  <c r="O67" i="17" s="1"/>
  <c r="L59" i="23"/>
  <c r="L65" i="23"/>
  <c r="N48" i="23"/>
  <c r="O48" i="23" s="1"/>
  <c r="N27" i="7"/>
  <c r="O27" i="7" s="1"/>
  <c r="L37" i="7"/>
  <c r="N27" i="2"/>
  <c r="O27" i="2" s="1"/>
  <c r="L37" i="2"/>
  <c r="N61" i="16"/>
  <c r="O61" i="16" s="1"/>
  <c r="L62" i="16"/>
  <c r="N62" i="16" s="1"/>
  <c r="O62" i="16" s="1"/>
  <c r="N61" i="19"/>
  <c r="O61" i="19" s="1"/>
  <c r="L62" i="19"/>
  <c r="N62" i="19" s="1"/>
  <c r="O62" i="19" s="1"/>
  <c r="N49" i="11"/>
  <c r="O49" i="11" s="1"/>
  <c r="L66" i="11"/>
  <c r="L60" i="11"/>
  <c r="L60" i="12"/>
  <c r="L66" i="12"/>
  <c r="N49" i="12"/>
  <c r="O49" i="12" s="1"/>
  <c r="L66" i="10"/>
  <c r="L60" i="10"/>
  <c r="N49" i="10"/>
  <c r="O49" i="10" s="1"/>
  <c r="N27" i="3"/>
  <c r="O27" i="3" s="1"/>
  <c r="L37" i="3"/>
  <c r="N27" i="6"/>
  <c r="O27" i="6" s="1"/>
  <c r="L37" i="6"/>
  <c r="I51" i="24" l="1"/>
  <c r="H47" i="24"/>
  <c r="I47" i="24" s="1"/>
  <c r="J47" i="24" s="1"/>
  <c r="N69" i="16"/>
  <c r="O69" i="16" s="1"/>
  <c r="L63" i="17"/>
  <c r="N63" i="17" s="1"/>
  <c r="O63" i="17" s="1"/>
  <c r="L69" i="17"/>
  <c r="N69" i="17" s="1"/>
  <c r="O69" i="17" s="1"/>
  <c r="L63" i="16"/>
  <c r="N63" i="16" s="1"/>
  <c r="O63" i="16" s="1"/>
  <c r="N60" i="10"/>
  <c r="O60" i="10" s="1"/>
  <c r="L61" i="10"/>
  <c r="N61" i="10" s="1"/>
  <c r="O61" i="10" s="1"/>
  <c r="N60" i="12"/>
  <c r="O60" i="12" s="1"/>
  <c r="L61" i="12"/>
  <c r="N61" i="12" s="1"/>
  <c r="O61" i="12" s="1"/>
  <c r="L63" i="19"/>
  <c r="N63" i="19" s="1"/>
  <c r="O63" i="19" s="1"/>
  <c r="N37" i="7"/>
  <c r="O37" i="7" s="1"/>
  <c r="K24" i="24" s="1"/>
  <c r="L46" i="7"/>
  <c r="L60" i="23"/>
  <c r="N60" i="23" s="1"/>
  <c r="O60" i="23" s="1"/>
  <c r="N59" i="23"/>
  <c r="O59" i="23" s="1"/>
  <c r="L69" i="19"/>
  <c r="L46" i="1"/>
  <c r="N37" i="1"/>
  <c r="O37" i="1" s="1"/>
  <c r="K18" i="24" s="1"/>
  <c r="N59" i="14"/>
  <c r="O59" i="14" s="1"/>
  <c r="L60" i="14"/>
  <c r="N60" i="14" s="1"/>
  <c r="O60" i="14" s="1"/>
  <c r="N37" i="3"/>
  <c r="O37" i="3" s="1"/>
  <c r="K20" i="24" s="1"/>
  <c r="L46" i="3"/>
  <c r="N66" i="10"/>
  <c r="O66" i="10" s="1"/>
  <c r="L67" i="10"/>
  <c r="N67" i="10" s="1"/>
  <c r="O67" i="10" s="1"/>
  <c r="L61" i="11"/>
  <c r="N61" i="11" s="1"/>
  <c r="O61" i="11" s="1"/>
  <c r="N60" i="11"/>
  <c r="O60" i="11" s="1"/>
  <c r="N60" i="9"/>
  <c r="O60" i="9" s="1"/>
  <c r="L61" i="9"/>
  <c r="N61" i="9" s="1"/>
  <c r="O61" i="9" s="1"/>
  <c r="N37" i="4"/>
  <c r="O37" i="4" s="1"/>
  <c r="K21" i="24" s="1"/>
  <c r="K13" i="28" s="1"/>
  <c r="L46" i="4"/>
  <c r="L60" i="15"/>
  <c r="N60" i="15" s="1"/>
  <c r="O60" i="15" s="1"/>
  <c r="N59" i="15"/>
  <c r="O59" i="15" s="1"/>
  <c r="N65" i="14"/>
  <c r="O65" i="14" s="1"/>
  <c r="L66" i="14"/>
  <c r="N66" i="14" s="1"/>
  <c r="O66" i="14" s="1"/>
  <c r="L63" i="13"/>
  <c r="N63" i="13" s="1"/>
  <c r="O63" i="13" s="1"/>
  <c r="L67" i="11"/>
  <c r="N67" i="11" s="1"/>
  <c r="O67" i="11" s="1"/>
  <c r="N66" i="11"/>
  <c r="O66" i="11" s="1"/>
  <c r="N37" i="2"/>
  <c r="O37" i="2" s="1"/>
  <c r="K19" i="24" s="1"/>
  <c r="L46" i="2"/>
  <c r="N37" i="5"/>
  <c r="O37" i="5" s="1"/>
  <c r="K22" i="24" s="1"/>
  <c r="L46" i="5"/>
  <c r="L66" i="15"/>
  <c r="N66" i="15" s="1"/>
  <c r="O66" i="15" s="1"/>
  <c r="N65" i="15"/>
  <c r="O65" i="15" s="1"/>
  <c r="L61" i="8"/>
  <c r="N61" i="8" s="1"/>
  <c r="O61" i="8" s="1"/>
  <c r="N60" i="8"/>
  <c r="O60" i="8" s="1"/>
  <c r="L46" i="6"/>
  <c r="N37" i="6"/>
  <c r="O37" i="6" s="1"/>
  <c r="K23" i="24" s="1"/>
  <c r="L67" i="12"/>
  <c r="N67" i="12" s="1"/>
  <c r="O67" i="12" s="1"/>
  <c r="N66" i="12"/>
  <c r="O66" i="12" s="1"/>
  <c r="N65" i="23"/>
  <c r="O65" i="23" s="1"/>
  <c r="L66" i="23"/>
  <c r="N66" i="23" s="1"/>
  <c r="O66" i="23" s="1"/>
  <c r="N66" i="9"/>
  <c r="O66" i="9" s="1"/>
  <c r="L67" i="9"/>
  <c r="N67" i="9" s="1"/>
  <c r="O67" i="9" s="1"/>
  <c r="H34" i="24"/>
  <c r="I34" i="24" s="1"/>
  <c r="J34" i="24" s="1"/>
  <c r="N69" i="13"/>
  <c r="O69" i="13" s="1"/>
  <c r="L67" i="8"/>
  <c r="N67" i="8" s="1"/>
  <c r="O67" i="8" s="1"/>
  <c r="N66" i="8"/>
  <c r="O66" i="8" s="1"/>
  <c r="J51" i="24" l="1"/>
  <c r="J31" i="28" s="1"/>
  <c r="I31" i="28"/>
  <c r="H44" i="24"/>
  <c r="L68" i="8"/>
  <c r="N68" i="8" s="1"/>
  <c r="O68" i="8" s="1"/>
  <c r="L61" i="15"/>
  <c r="N61" i="15" s="1"/>
  <c r="O61" i="15" s="1"/>
  <c r="L67" i="23"/>
  <c r="N68" i="23" s="1"/>
  <c r="O68" i="23" s="1"/>
  <c r="L61" i="14"/>
  <c r="N61" i="14" s="1"/>
  <c r="O61" i="14" s="1"/>
  <c r="L62" i="12"/>
  <c r="N62" i="12" s="1"/>
  <c r="O62" i="12" s="1"/>
  <c r="L61" i="23"/>
  <c r="L62" i="23" s="1"/>
  <c r="N62" i="23" s="1"/>
  <c r="O62" i="23" s="1"/>
  <c r="L62" i="8"/>
  <c r="N62" i="8" s="1"/>
  <c r="O62" i="8" s="1"/>
  <c r="L62" i="11"/>
  <c r="L63" i="11" s="1"/>
  <c r="N63" i="11" s="1"/>
  <c r="O63" i="11" s="1"/>
  <c r="L49" i="5"/>
  <c r="N46" i="5"/>
  <c r="O46" i="5" s="1"/>
  <c r="L68" i="11"/>
  <c r="L49" i="3"/>
  <c r="N46" i="3"/>
  <c r="O46" i="3" s="1"/>
  <c r="L68" i="12"/>
  <c r="N46" i="6"/>
  <c r="O46" i="6" s="1"/>
  <c r="L49" i="6"/>
  <c r="L67" i="15"/>
  <c r="L67" i="14"/>
  <c r="L62" i="9"/>
  <c r="L68" i="10"/>
  <c r="L62" i="10"/>
  <c r="N46" i="2"/>
  <c r="O46" i="2" s="1"/>
  <c r="L49" i="2"/>
  <c r="L49" i="1"/>
  <c r="N46" i="1"/>
  <c r="O46" i="1" s="1"/>
  <c r="L68" i="9"/>
  <c r="L49" i="4"/>
  <c r="N46" i="4"/>
  <c r="O46" i="4" s="1"/>
  <c r="N69" i="19"/>
  <c r="O69" i="19" s="1"/>
  <c r="H35" i="24"/>
  <c r="I35" i="24" s="1"/>
  <c r="J35" i="24" s="1"/>
  <c r="L49" i="7"/>
  <c r="N46" i="7"/>
  <c r="O46" i="7" s="1"/>
  <c r="I44" i="24" l="1"/>
  <c r="H25" i="28"/>
  <c r="J44" i="24"/>
  <c r="J25" i="28" s="1"/>
  <c r="I25" i="28"/>
  <c r="L62" i="14"/>
  <c r="N62" i="14" s="1"/>
  <c r="O62" i="14" s="1"/>
  <c r="L63" i="12"/>
  <c r="N63" i="12" s="1"/>
  <c r="O63" i="12" s="1"/>
  <c r="L69" i="8"/>
  <c r="N69" i="8" s="1"/>
  <c r="O69" i="8" s="1"/>
  <c r="N67" i="23"/>
  <c r="O67" i="23" s="1"/>
  <c r="N61" i="23"/>
  <c r="O61" i="23" s="1"/>
  <c r="L62" i="15"/>
  <c r="N62" i="15" s="1"/>
  <c r="O62" i="15" s="1"/>
  <c r="L63" i="8"/>
  <c r="N63" i="8" s="1"/>
  <c r="O63" i="8" s="1"/>
  <c r="N62" i="11"/>
  <c r="O62" i="11" s="1"/>
  <c r="L69" i="23"/>
  <c r="H37" i="24" s="1"/>
  <c r="I37" i="24" s="1"/>
  <c r="J37" i="24" s="1"/>
  <c r="L64" i="11"/>
  <c r="N64" i="11" s="1"/>
  <c r="O64" i="11" s="1"/>
  <c r="N68" i="14"/>
  <c r="O68" i="14" s="1"/>
  <c r="N67" i="14"/>
  <c r="O67" i="14" s="1"/>
  <c r="N68" i="12"/>
  <c r="O68" i="12" s="1"/>
  <c r="L69" i="12"/>
  <c r="N69" i="12" s="1"/>
  <c r="O69" i="12" s="1"/>
  <c r="L60" i="7"/>
  <c r="N49" i="7"/>
  <c r="O49" i="7" s="1"/>
  <c r="L66" i="7"/>
  <c r="L60" i="4"/>
  <c r="L66" i="4"/>
  <c r="N49" i="4"/>
  <c r="O49" i="4" s="1"/>
  <c r="L63" i="10"/>
  <c r="N63" i="10" s="1"/>
  <c r="O63" i="10" s="1"/>
  <c r="N62" i="10"/>
  <c r="O62" i="10" s="1"/>
  <c r="N68" i="15"/>
  <c r="O68" i="15" s="1"/>
  <c r="N67" i="15"/>
  <c r="O67" i="15" s="1"/>
  <c r="L63" i="23"/>
  <c r="N63" i="23" s="1"/>
  <c r="O63" i="23" s="1"/>
  <c r="L66" i="3"/>
  <c r="L60" i="3"/>
  <c r="N49" i="3"/>
  <c r="O49" i="3" s="1"/>
  <c r="N68" i="11"/>
  <c r="O68" i="11" s="1"/>
  <c r="L69" i="11"/>
  <c r="N69" i="11" s="1"/>
  <c r="O69" i="11" s="1"/>
  <c r="L69" i="9"/>
  <c r="N69" i="9" s="1"/>
  <c r="O69" i="9" s="1"/>
  <c r="N68" i="9"/>
  <c r="O68" i="9" s="1"/>
  <c r="N49" i="2"/>
  <c r="O49" i="2" s="1"/>
  <c r="L66" i="2"/>
  <c r="L60" i="2"/>
  <c r="L69" i="10"/>
  <c r="N69" i="10" s="1"/>
  <c r="O69" i="10" s="1"/>
  <c r="N68" i="10"/>
  <c r="O68" i="10" s="1"/>
  <c r="N49" i="6"/>
  <c r="O49" i="6" s="1"/>
  <c r="L66" i="6"/>
  <c r="L60" i="6"/>
  <c r="L60" i="1"/>
  <c r="L66" i="1"/>
  <c r="N49" i="1"/>
  <c r="O49" i="1" s="1"/>
  <c r="L63" i="9"/>
  <c r="N63" i="9" s="1"/>
  <c r="O63" i="9" s="1"/>
  <c r="N62" i="9"/>
  <c r="O62" i="9" s="1"/>
  <c r="L66" i="5"/>
  <c r="L60" i="5"/>
  <c r="N49" i="5"/>
  <c r="O49" i="5" s="1"/>
  <c r="L63" i="14" l="1"/>
  <c r="N63" i="14" s="1"/>
  <c r="O63" i="14" s="1"/>
  <c r="L64" i="12"/>
  <c r="L70" i="8"/>
  <c r="N70" i="8" s="1"/>
  <c r="O70" i="8" s="1"/>
  <c r="L64" i="8"/>
  <c r="H27" i="24" s="1"/>
  <c r="I27" i="24" s="1"/>
  <c r="J27" i="24" s="1"/>
  <c r="L63" i="15"/>
  <c r="N63" i="15" s="1"/>
  <c r="O63" i="15" s="1"/>
  <c r="H30" i="24"/>
  <c r="I30" i="24" s="1"/>
  <c r="J30" i="24" s="1"/>
  <c r="N69" i="23"/>
  <c r="O69" i="23" s="1"/>
  <c r="N64" i="8"/>
  <c r="O64" i="8" s="1"/>
  <c r="L64" i="9"/>
  <c r="H28" i="24" s="1"/>
  <c r="L70" i="9"/>
  <c r="N70" i="9" s="1"/>
  <c r="O70" i="9" s="1"/>
  <c r="L69" i="15"/>
  <c r="H41" i="24" s="1"/>
  <c r="L70" i="11"/>
  <c r="N70" i="11" s="1"/>
  <c r="O70" i="11" s="1"/>
  <c r="N66" i="1"/>
  <c r="O66" i="1" s="1"/>
  <c r="L67" i="1"/>
  <c r="N67" i="1" s="1"/>
  <c r="O67" i="1" s="1"/>
  <c r="L61" i="6"/>
  <c r="N61" i="6" s="1"/>
  <c r="O61" i="6" s="1"/>
  <c r="N60" i="6"/>
  <c r="O60" i="6" s="1"/>
  <c r="N60" i="3"/>
  <c r="O60" i="3" s="1"/>
  <c r="L61" i="3"/>
  <c r="N61" i="3" s="1"/>
  <c r="O61" i="3" s="1"/>
  <c r="L67" i="7"/>
  <c r="N67" i="7" s="1"/>
  <c r="O67" i="7" s="1"/>
  <c r="N66" i="7"/>
  <c r="O66" i="7" s="1"/>
  <c r="L61" i="1"/>
  <c r="N61" i="1" s="1"/>
  <c r="O61" i="1" s="1"/>
  <c r="N60" i="1"/>
  <c r="O60" i="1" s="1"/>
  <c r="L67" i="6"/>
  <c r="N67" i="6" s="1"/>
  <c r="O67" i="6" s="1"/>
  <c r="N66" i="6"/>
  <c r="O66" i="6" s="1"/>
  <c r="N66" i="3"/>
  <c r="O66" i="3" s="1"/>
  <c r="L67" i="3"/>
  <c r="N67" i="3" s="1"/>
  <c r="O67" i="3" s="1"/>
  <c r="N60" i="5"/>
  <c r="O60" i="5" s="1"/>
  <c r="L61" i="5"/>
  <c r="N61" i="5" s="1"/>
  <c r="O61" i="5" s="1"/>
  <c r="H31" i="24"/>
  <c r="I31" i="24" s="1"/>
  <c r="J31" i="24" s="1"/>
  <c r="N64" i="12"/>
  <c r="O64" i="12" s="1"/>
  <c r="L61" i="2"/>
  <c r="N61" i="2" s="1"/>
  <c r="O61" i="2" s="1"/>
  <c r="N60" i="2"/>
  <c r="O60" i="2" s="1"/>
  <c r="L64" i="10"/>
  <c r="L67" i="4"/>
  <c r="N67" i="4" s="1"/>
  <c r="O67" i="4" s="1"/>
  <c r="N66" i="4"/>
  <c r="O66" i="4" s="1"/>
  <c r="N60" i="7"/>
  <c r="O60" i="7" s="1"/>
  <c r="L61" i="7"/>
  <c r="N61" i="7" s="1"/>
  <c r="O61" i="7" s="1"/>
  <c r="L69" i="14"/>
  <c r="N66" i="5"/>
  <c r="O66" i="5" s="1"/>
  <c r="L67" i="5"/>
  <c r="N67" i="5" s="1"/>
  <c r="O67" i="5" s="1"/>
  <c r="L70" i="10"/>
  <c r="N70" i="10" s="1"/>
  <c r="O70" i="10" s="1"/>
  <c r="N66" i="2"/>
  <c r="O66" i="2" s="1"/>
  <c r="L67" i="2"/>
  <c r="N67" i="2" s="1"/>
  <c r="O67" i="2" s="1"/>
  <c r="N60" i="4"/>
  <c r="O60" i="4" s="1"/>
  <c r="L61" i="4"/>
  <c r="N61" i="4" s="1"/>
  <c r="O61" i="4" s="1"/>
  <c r="L70" i="12"/>
  <c r="N70" i="12" s="1"/>
  <c r="O70" i="12" s="1"/>
  <c r="I41" i="24" l="1"/>
  <c r="H22" i="28"/>
  <c r="I28" i="24"/>
  <c r="H16" i="28"/>
  <c r="N69" i="15"/>
  <c r="O69" i="15" s="1"/>
  <c r="N64" i="9"/>
  <c r="O64" i="9" s="1"/>
  <c r="L62" i="2"/>
  <c r="N62" i="2" s="1"/>
  <c r="O62" i="2" s="1"/>
  <c r="L68" i="6"/>
  <c r="L69" i="6" s="1"/>
  <c r="N69" i="6" s="1"/>
  <c r="O69" i="6" s="1"/>
  <c r="L68" i="3"/>
  <c r="N68" i="3" s="1"/>
  <c r="O68" i="3" s="1"/>
  <c r="L68" i="7"/>
  <c r="N68" i="7" s="1"/>
  <c r="O68" i="7" s="1"/>
  <c r="L62" i="5"/>
  <c r="N62" i="5" s="1"/>
  <c r="O62" i="5" s="1"/>
  <c r="L62" i="6"/>
  <c r="L63" i="6" s="1"/>
  <c r="N63" i="6" s="1"/>
  <c r="O63" i="6" s="1"/>
  <c r="L68" i="1"/>
  <c r="N68" i="1" s="1"/>
  <c r="O68" i="1" s="1"/>
  <c r="L62" i="1"/>
  <c r="L63" i="1" s="1"/>
  <c r="N63" i="1" s="1"/>
  <c r="O63" i="1" s="1"/>
  <c r="L62" i="4"/>
  <c r="N62" i="4" s="1"/>
  <c r="O62" i="4" s="1"/>
  <c r="L68" i="4"/>
  <c r="L69" i="4" s="1"/>
  <c r="N69" i="4" s="1"/>
  <c r="O69" i="4" s="1"/>
  <c r="L62" i="3"/>
  <c r="N62" i="3" s="1"/>
  <c r="O62" i="3" s="1"/>
  <c r="H29" i="24"/>
  <c r="I29" i="24" s="1"/>
  <c r="J29" i="24" s="1"/>
  <c r="N64" i="10"/>
  <c r="O64" i="10" s="1"/>
  <c r="N69" i="14"/>
  <c r="O69" i="14" s="1"/>
  <c r="H38" i="24"/>
  <c r="I38" i="24" s="1"/>
  <c r="J38" i="24" s="1"/>
  <c r="L68" i="2"/>
  <c r="L68" i="5"/>
  <c r="L62" i="7"/>
  <c r="N68" i="6" l="1"/>
  <c r="O68" i="6" s="1"/>
  <c r="J41" i="24"/>
  <c r="J22" i="28" s="1"/>
  <c r="I22" i="28"/>
  <c r="J28" i="24"/>
  <c r="J16" i="28" s="1"/>
  <c r="I16" i="28"/>
  <c r="L63" i="2"/>
  <c r="N63" i="2" s="1"/>
  <c r="O63" i="2" s="1"/>
  <c r="L69" i="1"/>
  <c r="N69" i="1" s="1"/>
  <c r="O69" i="1" s="1"/>
  <c r="L69" i="3"/>
  <c r="N69" i="3" s="1"/>
  <c r="O69" i="3" s="1"/>
  <c r="N68" i="4"/>
  <c r="O68" i="4" s="1"/>
  <c r="N62" i="6"/>
  <c r="O62" i="6" s="1"/>
  <c r="L63" i="5"/>
  <c r="N63" i="5" s="1"/>
  <c r="O63" i="5" s="1"/>
  <c r="L63" i="4"/>
  <c r="N63" i="4" s="1"/>
  <c r="O63" i="4" s="1"/>
  <c r="L63" i="3"/>
  <c r="N63" i="3" s="1"/>
  <c r="O63" i="3" s="1"/>
  <c r="L69" i="7"/>
  <c r="N69" i="7" s="1"/>
  <c r="O69" i="7" s="1"/>
  <c r="N62" i="1"/>
  <c r="O62" i="1" s="1"/>
  <c r="L64" i="1"/>
  <c r="H18" i="24" s="1"/>
  <c r="I18" i="24" s="1"/>
  <c r="J18" i="24" s="1"/>
  <c r="N62" i="7"/>
  <c r="O62" i="7" s="1"/>
  <c r="L63" i="7"/>
  <c r="N63" i="7" s="1"/>
  <c r="O63" i="7" s="1"/>
  <c r="L70" i="4"/>
  <c r="N70" i="4" s="1"/>
  <c r="O70" i="4" s="1"/>
  <c r="L64" i="6"/>
  <c r="N68" i="5"/>
  <c r="O68" i="5" s="1"/>
  <c r="L69" i="5"/>
  <c r="N69" i="5" s="1"/>
  <c r="O69" i="5" s="1"/>
  <c r="L70" i="6"/>
  <c r="N70" i="6" s="1"/>
  <c r="O70" i="6" s="1"/>
  <c r="N68" i="2"/>
  <c r="O68" i="2" s="1"/>
  <c r="L69" i="2"/>
  <c r="N69" i="2" s="1"/>
  <c r="O69" i="2" s="1"/>
  <c r="L70" i="1" l="1"/>
  <c r="N70" i="1" s="1"/>
  <c r="O70" i="1" s="1"/>
  <c r="L70" i="3"/>
  <c r="N70" i="3" s="1"/>
  <c r="O70" i="3" s="1"/>
  <c r="L64" i="2"/>
  <c r="N64" i="2" s="1"/>
  <c r="O64" i="2" s="1"/>
  <c r="L64" i="5"/>
  <c r="N64" i="5" s="1"/>
  <c r="O64" i="5" s="1"/>
  <c r="L64" i="4"/>
  <c r="N64" i="4" s="1"/>
  <c r="O64" i="4" s="1"/>
  <c r="L70" i="7"/>
  <c r="N70" i="7" s="1"/>
  <c r="O70" i="7" s="1"/>
  <c r="L64" i="3"/>
  <c r="N64" i="1"/>
  <c r="O64" i="1" s="1"/>
  <c r="L70" i="2"/>
  <c r="N70" i="2" s="1"/>
  <c r="O70" i="2" s="1"/>
  <c r="L64" i="7"/>
  <c r="H19" i="24"/>
  <c r="I19" i="24" s="1"/>
  <c r="J19" i="24" s="1"/>
  <c r="H22" i="24"/>
  <c r="I22" i="24" s="1"/>
  <c r="J22" i="24" s="1"/>
  <c r="L70" i="5"/>
  <c r="N70" i="5" s="1"/>
  <c r="O70" i="5" s="1"/>
  <c r="N64" i="6"/>
  <c r="O64" i="6" s="1"/>
  <c r="H23" i="24"/>
  <c r="I23" i="24" s="1"/>
  <c r="J23" i="24" s="1"/>
  <c r="H21" i="24" l="1"/>
  <c r="H20" i="24"/>
  <c r="I20" i="24" s="1"/>
  <c r="J20" i="24" s="1"/>
  <c r="N64" i="3"/>
  <c r="O64" i="3" s="1"/>
  <c r="N64" i="7"/>
  <c r="O64" i="7" s="1"/>
  <c r="H24" i="24"/>
  <c r="I24" i="24" s="1"/>
  <c r="J24" i="24" s="1"/>
  <c r="I21" i="24" l="1"/>
  <c r="H13" i="28"/>
  <c r="J21" i="24" l="1"/>
  <c r="J13" i="28" s="1"/>
  <c r="I13" i="28"/>
</calcChain>
</file>

<file path=xl/comments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2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3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4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5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6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7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8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<sst xmlns="http://schemas.openxmlformats.org/spreadsheetml/2006/main" count="2290" uniqueCount="105">
  <si>
    <t>File Number: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</si>
  <si>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</si>
  <si>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</si>
  <si>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</si>
  <si>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</si>
  <si>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</si>
  <si>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</si>
  <si>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</si>
  <si>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</si>
  <si>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</si>
  <si>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</si>
  <si>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</si>
  <si>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</si>
  <si>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</si>
  <si>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</si>
  <si>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</si>
  <si>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</si>
  <si>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</si>
  <si>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</si>
  <si>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</si>
  <si>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</si>
  <si>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</si>
  <si>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</si>
  <si>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</si>
  <si>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</si>
  <si>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</si>
  <si>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</si>
  <si>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</si>
  <si>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</si>
  <si>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</si>
  <si>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</si>
  <si>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</si>
  <si>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</si>
  <si>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</si>
  <si>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</si>
  <si>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</si>
  <si>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</si>
  <si>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</si>
  <si>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</si>
  <si>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</si>
  <si>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</si>
  <si>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</si>
  <si>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</si>
  <si>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</si>
  <si>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</si>
  <si>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</si>
  <si>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</si>
  <si>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</si>
  <si>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</si>
  <si>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</si>
  <si>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</si>
  <si>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</si>
  <si>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</si>
  <si>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</si>
  <si>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</si>
  <si>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</si>
  <si>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</si>
  <si>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</si>
  <si>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</si>
  <si>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</si>
  <si>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</si>
  <si>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per kWh</t>
  </si>
  <si>
    <t>Rate Rider for Disposal of Residual Historical Smart Meter Costs - effective until April 30, 2014</t>
  </si>
  <si>
    <t>Rate Rider for Smart Meter Incremental Revenue Requirement</t>
  </si>
  <si>
    <t>Stranded Meter Rate Rider (SMRR)</t>
  </si>
  <si>
    <t xml:space="preserve">Rate Rider for Application of Tax Change </t>
  </si>
  <si>
    <t>Rate Rider for Accounts 1575 and 1576</t>
  </si>
  <si>
    <t>GS &lt; 50 kW</t>
  </si>
  <si>
    <t>non-TOU</t>
  </si>
  <si>
    <t>kW</t>
  </si>
  <si>
    <t>per kW</t>
  </si>
  <si>
    <t>Large Use</t>
  </si>
  <si>
    <t>Street Lighting</t>
  </si>
  <si>
    <t>Unmetered Scattered Load</t>
  </si>
  <si>
    <t>Rate Rider for Disposition of Global Adjustment Sub-Account(Applicable only for Non-RPP Customers)</t>
  </si>
  <si>
    <t>Sheet:</t>
  </si>
  <si>
    <t>Filed:</t>
  </si>
  <si>
    <t>Rate Class</t>
  </si>
  <si>
    <t>kWh</t>
  </si>
  <si>
    <t># of Connections</t>
  </si>
  <si>
    <t>$ Difference</t>
  </si>
  <si>
    <t>Time-of-Use</t>
  </si>
  <si>
    <t>USL</t>
  </si>
  <si>
    <t>Interrogatory:</t>
  </si>
  <si>
    <t>Energy - RPP - Tier 1 - Set at 600 kWh</t>
  </si>
  <si>
    <t>GS 50-4,999 kW</t>
  </si>
  <si>
    <t>COP Spot Price - Use Oct/Nov/14 Navigant</t>
  </si>
  <si>
    <t>COP Spot Price - use RPP Rate</t>
  </si>
  <si>
    <t>2015 Bill $</t>
  </si>
  <si>
    <t>2016 Bill $</t>
  </si>
  <si>
    <t>Rate Rider for LRAMVA</t>
  </si>
  <si>
    <t>Embedded Distributor</t>
  </si>
  <si>
    <t>Stranded Meter Rate Rider (SMRR) - 3 YR v02</t>
  </si>
  <si>
    <t>GS 50-4999 kW</t>
  </si>
  <si>
    <t>Total Bill Impact %</t>
  </si>
  <si>
    <t xml:space="preserve">Stranded Meter Rate Rider (SMRR) </t>
  </si>
  <si>
    <t>Distribution Bill Impact %</t>
  </si>
  <si>
    <t>COP Spot Price - Oct/Nov/14 Navigant</t>
  </si>
  <si>
    <t>EB-2015-0108</t>
  </si>
  <si>
    <t>Exhibit:</t>
  </si>
  <si>
    <t>Tab:</t>
  </si>
  <si>
    <t>Attachment 8-4</t>
  </si>
  <si>
    <t>Summary of Rate Impacts</t>
  </si>
  <si>
    <t>Typical Customer is highlighted in each rate class</t>
  </si>
  <si>
    <t>Rate Impact Summary of Typical Use by Rate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</si>
</sst>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0.000%"/>
    <numFmt numFmtId="167" formatCode="[$-409]mmmm\ d\,\ yyyy;@"/>
    <numFmt numFmtId="168" formatCode="_-&quot;$&quot;* #,##0.00000_-;\-&quot;$&quot;* #,##0.00000_-;_-&quot;$&quot;* &quot;-&quot;??_-;_-@_-"/>
    <numFmt numFmtId="169" formatCode="_(* #,##0_);_(* \(#,##0\);_(* &quot;-&quot;??_);_(@_)"/>
    <numFmt numFmtId="170" formatCode="_(&quot;$&quot;* #,##0.0000_);_(&quot;$&quot;* \(#,##0.00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3"/>
      <color theme="1"/>
      <name val="Arial"/>
      <family val="2"/>
    </font>
    <font>
      <i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0" borderId="0"/>
    <xf numFmtId="9" fontId="15" fillId="0" borderId="0" applyFont="0" applyFill="0" applyBorder="0" applyAlignment="0" applyProtection="0"/>
  </cellStyleXfs>
  <cellXfs count="397">
    <xf numFmtId="0" fontId="0" fillId="0" borderId="0" xfId="0"/>
    <xf numFmtId="0" fontId="1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164" fontId="2" fillId="4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quotePrefix="1" applyFont="1" applyBorder="1" applyAlignment="1" applyProtection="1">
      <alignment horizontal="center"/>
    </xf>
    <xf numFmtId="0" fontId="2" fillId="0" borderId="6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15" fillId="4" borderId="7" xfId="2" applyNumberFormat="1" applyFont="1" applyFill="1" applyBorder="1" applyAlignment="1" applyProtection="1">
      <alignment vertical="top"/>
      <protection locked="0"/>
    </xf>
    <xf numFmtId="0" fontId="0" fillId="0" borderId="7" xfId="0" applyFill="1" applyBorder="1" applyAlignment="1" applyProtection="1">
      <alignment vertical="center"/>
    </xf>
    <xf numFmtId="44" fontId="15" fillId="0" borderId="3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15" fillId="4" borderId="7" xfId="2" applyNumberFormat="1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</xf>
    <xf numFmtId="44" fontId="0" fillId="0" borderId="7" xfId="0" applyNumberFormat="1" applyBorder="1" applyAlignment="1" applyProtection="1">
      <alignment vertical="center"/>
    </xf>
    <xf numFmtId="10" fontId="15" fillId="0" borderId="3" xfId="4" applyNumberFormat="1" applyFont="1" applyBorder="1" applyAlignment="1" applyProtection="1">
      <alignment vertical="center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2" fillId="5" borderId="8" xfId="0" applyFont="1" applyFill="1" applyBorder="1" applyAlignment="1" applyProtection="1">
      <alignment vertical="top"/>
      <protection locked="0"/>
    </xf>
    <xf numFmtId="0" fontId="0" fillId="5" borderId="9" xfId="0" applyFill="1" applyBorder="1" applyAlignment="1" applyProtection="1">
      <alignment vertical="top"/>
    </xf>
    <xf numFmtId="0" fontId="0" fillId="5" borderId="9" xfId="0" applyFill="1" applyBorder="1" applyAlignment="1" applyProtection="1">
      <alignment vertical="top"/>
      <protection locked="0"/>
    </xf>
    <xf numFmtId="165" fontId="15" fillId="5" borderId="1" xfId="2" applyNumberFormat="1" applyFon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center"/>
      <protection locked="0"/>
    </xf>
    <xf numFmtId="44" fontId="15" fillId="5" borderId="10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15" fillId="5" borderId="1" xfId="2" applyNumberFormat="1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44" fontId="2" fillId="5" borderId="1" xfId="0" applyNumberFormat="1" applyFont="1" applyFill="1" applyBorder="1" applyAlignment="1" applyProtection="1">
      <alignment vertical="center"/>
    </xf>
    <xf numFmtId="10" fontId="2" fillId="5" borderId="10" xfId="4" applyNumberFormat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2" fillId="5" borderId="8" xfId="0" applyFont="1" applyFill="1" applyBorder="1" applyAlignment="1" applyProtection="1">
      <alignment vertical="top" wrapText="1"/>
    </xf>
    <xf numFmtId="0" fontId="0" fillId="5" borderId="9" xfId="0" applyFill="1" applyBorder="1" applyProtection="1"/>
    <xf numFmtId="0" fontId="0" fillId="5" borderId="1" xfId="0" applyFill="1" applyBorder="1" applyProtection="1"/>
    <xf numFmtId="0" fontId="0" fillId="5" borderId="1" xfId="0" applyFill="1" applyBorder="1" applyAlignment="1" applyProtection="1">
      <alignment vertical="center"/>
    </xf>
    <xf numFmtId="44" fontId="2" fillId="5" borderId="10" xfId="0" applyNumberFormat="1" applyFont="1" applyFill="1" applyBorder="1" applyAlignment="1" applyProtection="1">
      <alignment vertical="center"/>
    </xf>
    <xf numFmtId="0" fontId="0" fillId="5" borderId="1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vertical="top"/>
    </xf>
    <xf numFmtId="0" fontId="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5" fillId="4" borderId="7" xfId="2" applyNumberFormat="1" applyFill="1" applyBorder="1" applyAlignment="1" applyProtection="1">
      <alignment vertical="top"/>
      <protection locked="0"/>
    </xf>
    <xf numFmtId="44" fontId="15" fillId="0" borderId="3" xfId="2" applyBorder="1" applyAlignment="1" applyProtection="1">
      <alignment vertical="center"/>
    </xf>
    <xf numFmtId="165" fontId="15" fillId="4" borderId="7" xfId="2" applyNumberFormat="1" applyFill="1" applyBorder="1" applyAlignment="1" applyProtection="1">
      <alignment vertical="center"/>
      <protection locked="0"/>
    </xf>
    <xf numFmtId="10" fontId="15" fillId="0" borderId="3" xfId="4" applyNumberFormat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5" fontId="15" fillId="0" borderId="7" xfId="2" applyNumberFormat="1" applyFill="1" applyBorder="1" applyAlignment="1" applyProtection="1">
      <alignment vertical="top"/>
      <protection locked="0"/>
    </xf>
    <xf numFmtId="44" fontId="0" fillId="0" borderId="0" xfId="0" applyNumberFormat="1" applyProtection="1"/>
    <xf numFmtId="0" fontId="7" fillId="0" borderId="0" xfId="3" applyProtection="1"/>
    <xf numFmtId="0" fontId="7" fillId="0" borderId="0" xfId="3" applyFont="1" applyAlignment="1" applyProtection="1">
      <alignment vertical="top"/>
    </xf>
    <xf numFmtId="0" fontId="7" fillId="0" borderId="0" xfId="3" applyAlignment="1" applyProtection="1">
      <alignment vertical="top"/>
    </xf>
    <xf numFmtId="0" fontId="7" fillId="3" borderId="0" xfId="3" applyFill="1" applyAlignment="1" applyProtection="1">
      <alignment vertical="top"/>
      <protection locked="0"/>
    </xf>
    <xf numFmtId="0" fontId="7" fillId="0" borderId="0" xfId="3" applyFill="1" applyAlignment="1" applyProtection="1">
      <alignment vertical="top"/>
    </xf>
    <xf numFmtId="1" fontId="7" fillId="7" borderId="7" xfId="3" applyNumberFormat="1" applyFill="1" applyBorder="1" applyAlignment="1" applyProtection="1">
      <alignment vertical="center"/>
    </xf>
    <xf numFmtId="0" fontId="7" fillId="0" borderId="0" xfId="3" applyAlignment="1" applyProtection="1">
      <alignment vertical="center"/>
    </xf>
    <xf numFmtId="44" fontId="7" fillId="0" borderId="7" xfId="3" applyNumberFormat="1" applyBorder="1" applyAlignment="1" applyProtection="1">
      <alignment vertical="center"/>
    </xf>
    <xf numFmtId="0" fontId="7" fillId="8" borderId="12" xfId="0" applyFont="1" applyFill="1" applyBorder="1" applyProtection="1"/>
    <xf numFmtId="0" fontId="0" fillId="8" borderId="13" xfId="0" applyFill="1" applyBorder="1" applyAlignment="1" applyProtection="1">
      <alignment vertical="top"/>
    </xf>
    <xf numFmtId="0" fontId="0" fillId="8" borderId="13" xfId="0" applyFill="1" applyBorder="1" applyAlignment="1" applyProtection="1">
      <alignment vertical="top"/>
      <protection locked="0"/>
    </xf>
    <xf numFmtId="165" fontId="15" fillId="8" borderId="14" xfId="2" applyNumberFormat="1" applyFill="1" applyBorder="1" applyAlignment="1" applyProtection="1">
      <alignment vertical="top"/>
      <protection locked="0"/>
    </xf>
    <xf numFmtId="0" fontId="0" fillId="8" borderId="15" xfId="0" applyFill="1" applyBorder="1" applyAlignment="1" applyProtection="1">
      <alignment vertical="center"/>
      <protection locked="0"/>
    </xf>
    <xf numFmtId="44" fontId="15" fillId="8" borderId="13" xfId="2" applyFill="1" applyBorder="1" applyAlignment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  <protection locked="0"/>
    </xf>
    <xf numFmtId="44" fontId="0" fillId="8" borderId="14" xfId="0" applyNumberFormat="1" applyFill="1" applyBorder="1" applyAlignment="1" applyProtection="1">
      <alignment vertical="center"/>
    </xf>
    <xf numFmtId="10" fontId="15" fillId="8" borderId="16" xfId="4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7" xfId="0" applyNumberFormat="1" applyFont="1" applyFill="1" applyBorder="1" applyAlignment="1" applyProtection="1">
      <alignment vertical="center"/>
    </xf>
    <xf numFmtId="10" fontId="2" fillId="0" borderId="3" xfId="4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top" inden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7" fillId="0" borderId="11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9" fontId="7" fillId="0" borderId="7" xfId="0" applyNumberFormat="1" applyFont="1" applyFill="1" applyBorder="1" applyAlignment="1" applyProtection="1">
      <alignment vertical="center"/>
      <protection locked="0"/>
    </xf>
    <xf numFmtId="44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4" fontId="7" fillId="0" borderId="7" xfId="0" applyNumberFormat="1" applyFont="1" applyFill="1" applyBorder="1" applyAlignment="1" applyProtection="1">
      <alignment vertical="center"/>
    </xf>
    <xf numFmtId="10" fontId="7" fillId="0" borderId="3" xfId="4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7" xfId="0" applyFill="1" applyBorder="1" applyAlignment="1" applyProtection="1">
      <alignment vertical="top"/>
    </xf>
    <xf numFmtId="44" fontId="17" fillId="0" borderId="11" xfId="0" applyNumberFormat="1" applyFont="1" applyFill="1" applyBorder="1" applyAlignment="1" applyProtection="1">
      <alignment vertical="center"/>
    </xf>
    <xf numFmtId="44" fontId="17" fillId="0" borderId="3" xfId="0" applyNumberFormat="1" applyFont="1" applyFill="1" applyBorder="1" applyAlignment="1" applyProtection="1">
      <alignment vertical="center"/>
    </xf>
    <xf numFmtId="44" fontId="17" fillId="0" borderId="7" xfId="0" applyNumberFormat="1" applyFont="1" applyFill="1" applyBorder="1" applyAlignment="1" applyProtection="1">
      <alignment vertical="center"/>
    </xf>
    <xf numFmtId="10" fontId="17" fillId="0" borderId="3" xfId="4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5" xfId="0" applyFill="1" applyBorder="1" applyAlignment="1" applyProtection="1">
      <alignment vertical="top"/>
    </xf>
    <xf numFmtId="0" fontId="0" fillId="9" borderId="17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  <xf numFmtId="44" fontId="2" fillId="9" borderId="6" xfId="0" applyNumberFormat="1" applyFont="1" applyFill="1" applyBorder="1" applyAlignment="1" applyProtection="1">
      <alignment vertical="center"/>
    </xf>
    <xf numFmtId="0" fontId="2" fillId="9" borderId="17" xfId="0" applyFont="1" applyFill="1" applyBorder="1" applyAlignment="1" applyProtection="1">
      <alignment vertical="center"/>
    </xf>
    <xf numFmtId="44" fontId="2" fillId="9" borderId="5" xfId="0" applyNumberFormat="1" applyFont="1" applyFill="1" applyBorder="1" applyAlignment="1" applyProtection="1">
      <alignment vertical="center"/>
    </xf>
    <xf numFmtId="10" fontId="2" fillId="9" borderId="6" xfId="4" applyNumberFormat="1" applyFont="1" applyFill="1" applyBorder="1" applyAlignment="1" applyProtection="1">
      <alignment vertical="center"/>
    </xf>
    <xf numFmtId="0" fontId="7" fillId="8" borderId="12" xfId="3" applyFont="1" applyFill="1" applyBorder="1" applyProtection="1"/>
    <xf numFmtId="0" fontId="7" fillId="8" borderId="13" xfId="3" applyFill="1" applyBorder="1" applyAlignment="1" applyProtection="1">
      <alignment vertical="top"/>
    </xf>
    <xf numFmtId="0" fontId="7" fillId="8" borderId="13" xfId="3" applyFill="1" applyBorder="1" applyAlignment="1" applyProtection="1">
      <alignment vertical="top"/>
      <protection locked="0"/>
    </xf>
    <xf numFmtId="0" fontId="7" fillId="8" borderId="15" xfId="3" applyFill="1" applyBorder="1" applyAlignment="1" applyProtection="1">
      <alignment vertical="center"/>
      <protection locked="0"/>
    </xf>
    <xf numFmtId="0" fontId="7" fillId="8" borderId="13" xfId="3" applyFill="1" applyBorder="1" applyAlignment="1" applyProtection="1">
      <alignment vertical="center"/>
    </xf>
    <xf numFmtId="0" fontId="7" fillId="8" borderId="14" xfId="3" applyFill="1" applyBorder="1" applyAlignment="1" applyProtection="1">
      <alignment vertical="center"/>
      <protection locked="0"/>
    </xf>
    <xf numFmtId="44" fontId="7" fillId="8" borderId="14" xfId="3" applyNumberForma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top"/>
    </xf>
    <xf numFmtId="9" fontId="7" fillId="0" borderId="7" xfId="3" applyNumberFormat="1" applyFill="1" applyBorder="1" applyAlignment="1" applyProtection="1">
      <alignment vertical="top"/>
    </xf>
    <xf numFmtId="9" fontId="7" fillId="0" borderId="0" xfId="3" applyNumberFormat="1" applyFill="1" applyBorder="1" applyAlignment="1" applyProtection="1">
      <alignment vertical="center"/>
    </xf>
    <xf numFmtId="44" fontId="2" fillId="0" borderId="11" xfId="3" applyNumberFormat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vertical="center"/>
    </xf>
    <xf numFmtId="9" fontId="2" fillId="0" borderId="7" xfId="3" applyNumberFormat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</xf>
    <xf numFmtId="44" fontId="2" fillId="0" borderId="7" xfId="3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horizontal="left" vertical="top" indent="1"/>
    </xf>
    <xf numFmtId="9" fontId="7" fillId="0" borderId="7" xfId="3" applyNumberFormat="1" applyFill="1" applyBorder="1" applyAlignment="1" applyProtection="1">
      <alignment vertical="top"/>
      <protection locked="0"/>
    </xf>
    <xf numFmtId="44" fontId="7" fillId="0" borderId="11" xfId="3" applyNumberFormat="1" applyFont="1" applyFill="1" applyBorder="1" applyAlignment="1" applyProtection="1">
      <alignment vertical="center"/>
    </xf>
    <xf numFmtId="0" fontId="7" fillId="0" borderId="7" xfId="3" applyFont="1" applyFill="1" applyBorder="1" applyAlignment="1" applyProtection="1">
      <alignment vertical="center"/>
    </xf>
    <xf numFmtId="9" fontId="7" fillId="0" borderId="7" xfId="3" applyNumberFormat="1" applyFont="1" applyFill="1" applyBorder="1" applyAlignment="1" applyProtection="1">
      <alignment vertical="top"/>
      <protection locked="0"/>
    </xf>
    <xf numFmtId="9" fontId="7" fillId="0" borderId="7" xfId="3" applyNumberFormat="1" applyFont="1" applyFill="1" applyBorder="1" applyAlignment="1" applyProtection="1">
      <alignment vertical="center"/>
    </xf>
    <xf numFmtId="44" fontId="7" fillId="0" borderId="3" xfId="3" applyNumberFormat="1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44" fontId="7" fillId="0" borderId="7" xfId="3" applyNumberFormat="1" applyFont="1" applyFill="1" applyBorder="1" applyAlignment="1" applyProtection="1">
      <alignment vertical="center"/>
    </xf>
    <xf numFmtId="0" fontId="2" fillId="0" borderId="0" xfId="3" applyFont="1" applyAlignment="1" applyProtection="1">
      <alignment horizontal="left" vertical="top" wrapText="1" indent="1"/>
    </xf>
    <xf numFmtId="0" fontId="7" fillId="0" borderId="7" xfId="3" applyFill="1" applyBorder="1" applyAlignment="1" applyProtection="1">
      <alignment vertical="top"/>
    </xf>
    <xf numFmtId="0" fontId="7" fillId="0" borderId="0" xfId="3" applyFill="1" applyBorder="1" applyAlignment="1" applyProtection="1">
      <alignment vertical="center"/>
    </xf>
    <xf numFmtId="44" fontId="17" fillId="0" borderId="11" xfId="3" applyNumberFormat="1" applyFont="1" applyFill="1" applyBorder="1" applyAlignment="1" applyProtection="1">
      <alignment vertical="center"/>
    </xf>
    <xf numFmtId="44" fontId="17" fillId="0" borderId="3" xfId="3" applyNumberFormat="1" applyFont="1" applyFill="1" applyBorder="1" applyAlignment="1" applyProtection="1">
      <alignment vertical="center"/>
    </xf>
    <xf numFmtId="44" fontId="17" fillId="0" borderId="7" xfId="3" applyNumberFormat="1" applyFont="1" applyFill="1" applyBorder="1" applyAlignment="1" applyProtection="1">
      <alignment vertical="center"/>
    </xf>
    <xf numFmtId="0" fontId="7" fillId="9" borderId="0" xfId="3" applyFill="1" applyAlignment="1" applyProtection="1">
      <alignment vertical="top"/>
    </xf>
    <xf numFmtId="0" fontId="7" fillId="9" borderId="7" xfId="3" applyFill="1" applyBorder="1" applyAlignment="1" applyProtection="1">
      <alignment vertical="top"/>
    </xf>
    <xf numFmtId="0" fontId="7" fillId="9" borderId="0" xfId="3" applyFill="1" applyBorder="1" applyAlignment="1" applyProtection="1">
      <alignment vertical="center"/>
    </xf>
    <xf numFmtId="44" fontId="2" fillId="9" borderId="11" xfId="3" applyNumberFormat="1" applyFont="1" applyFill="1" applyBorder="1" applyAlignment="1" applyProtection="1">
      <alignment vertical="center"/>
    </xf>
    <xf numFmtId="0" fontId="2" fillId="9" borderId="7" xfId="3" applyFont="1" applyFill="1" applyBorder="1" applyAlignment="1" applyProtection="1">
      <alignment vertical="center"/>
    </xf>
    <xf numFmtId="44" fontId="2" fillId="9" borderId="3" xfId="3" applyNumberFormat="1" applyFont="1" applyFill="1" applyBorder="1" applyAlignment="1" applyProtection="1">
      <alignment vertical="center"/>
    </xf>
    <xf numFmtId="0" fontId="2" fillId="9" borderId="0" xfId="3" applyFont="1" applyFill="1" applyBorder="1" applyAlignment="1" applyProtection="1">
      <alignment vertical="center"/>
    </xf>
    <xf numFmtId="44" fontId="2" fillId="9" borderId="7" xfId="3" applyNumberFormat="1" applyFont="1" applyFill="1" applyBorder="1" applyAlignment="1" applyProtection="1">
      <alignment vertical="center"/>
    </xf>
    <xf numFmtId="10" fontId="2" fillId="9" borderId="3" xfId="4" applyNumberFormat="1" applyFont="1" applyFill="1" applyBorder="1" applyAlignment="1" applyProtection="1">
      <alignment vertical="center"/>
    </xf>
    <xf numFmtId="165" fontId="15" fillId="8" borderId="15" xfId="2" applyNumberFormat="1" applyFill="1" applyBorder="1" applyAlignment="1" applyProtection="1">
      <alignment vertical="top"/>
      <protection locked="0"/>
    </xf>
    <xf numFmtId="0" fontId="7" fillId="8" borderId="13" xfId="3" applyFill="1" applyBorder="1" applyAlignment="1" applyProtection="1">
      <alignment vertical="center"/>
      <protection locked="0"/>
    </xf>
    <xf numFmtId="44" fontId="15" fillId="8" borderId="19" xfId="2" applyFill="1" applyBorder="1" applyAlignment="1" applyProtection="1">
      <alignment vertical="center"/>
    </xf>
    <xf numFmtId="0" fontId="7" fillId="8" borderId="15" xfId="3" applyFill="1" applyBorder="1" applyAlignment="1" applyProtection="1">
      <alignment vertical="center"/>
    </xf>
    <xf numFmtId="44" fontId="15" fillId="8" borderId="14" xfId="2" applyFill="1" applyBorder="1" applyAlignment="1" applyProtection="1">
      <alignment vertical="center"/>
    </xf>
    <xf numFmtId="44" fontId="7" fillId="8" borderId="15" xfId="3" applyNumberFormat="1" applyFill="1" applyBorder="1" applyAlignment="1" applyProtection="1">
      <alignment vertical="center"/>
    </xf>
    <xf numFmtId="10" fontId="15" fillId="4" borderId="1" xfId="4" applyNumberFormat="1" applyFill="1" applyBorder="1" applyProtection="1">
      <protection locked="0"/>
    </xf>
    <xf numFmtId="0" fontId="11" fillId="0" borderId="0" xfId="0" applyFont="1" applyProtection="1"/>
    <xf numFmtId="0" fontId="0" fillId="6" borderId="0" xfId="0" applyFill="1" applyProtection="1"/>
    <xf numFmtId="44" fontId="15" fillId="4" borderId="7" xfId="2" applyNumberFormat="1" applyFont="1" applyFill="1" applyBorder="1" applyAlignment="1" applyProtection="1">
      <alignment vertical="center"/>
      <protection locked="0"/>
    </xf>
    <xf numFmtId="44" fontId="15" fillId="4" borderId="7" xfId="2" applyNumberFormat="1" applyFont="1" applyFill="1" applyBorder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</xf>
    <xf numFmtId="44" fontId="15" fillId="4" borderId="7" xfId="2" applyNumberFormat="1" applyFill="1" applyBorder="1" applyAlignment="1" applyProtection="1">
      <alignment vertical="top"/>
      <protection locked="0"/>
    </xf>
    <xf numFmtId="44" fontId="15" fillId="4" borderId="7" xfId="2" applyNumberFormat="1" applyFill="1" applyBorder="1" applyAlignment="1" applyProtection="1">
      <alignment vertical="center"/>
      <protection locked="0"/>
    </xf>
    <xf numFmtId="44" fontId="15" fillId="7" borderId="7" xfId="2" applyNumberFormat="1" applyFont="1" applyFill="1" applyBorder="1" applyAlignment="1" applyProtection="1">
      <alignment vertical="top"/>
      <protection locked="0"/>
    </xf>
    <xf numFmtId="164" fontId="0" fillId="0" borderId="7" xfId="0" applyNumberFormat="1" applyFill="1" applyBorder="1" applyAlignment="1" applyProtection="1">
      <alignment vertical="center"/>
    </xf>
    <xf numFmtId="0" fontId="7" fillId="10" borderId="0" xfId="3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  <protection locked="0"/>
    </xf>
    <xf numFmtId="165" fontId="15" fillId="0" borderId="7" xfId="2" applyNumberFormat="1" applyFont="1" applyFill="1" applyBorder="1" applyAlignment="1" applyProtection="1">
      <alignment vertical="top"/>
      <protection locked="0"/>
    </xf>
    <xf numFmtId="44" fontId="15" fillId="0" borderId="3" xfId="2" applyFont="1" applyFill="1" applyBorder="1" applyAlignment="1" applyProtection="1">
      <alignment vertical="center"/>
    </xf>
    <xf numFmtId="165" fontId="15" fillId="0" borderId="7" xfId="2" applyNumberFormat="1" applyFont="1" applyFill="1" applyBorder="1" applyAlignment="1" applyProtection="1">
      <alignment vertical="center"/>
      <protection locked="0"/>
    </xf>
    <xf numFmtId="44" fontId="0" fillId="0" borderId="7" xfId="0" applyNumberFormat="1" applyFill="1" applyBorder="1" applyAlignment="1" applyProtection="1">
      <alignment vertical="center"/>
    </xf>
    <xf numFmtId="10" fontId="15" fillId="0" borderId="3" xfId="4" applyNumberFormat="1" applyFont="1" applyFill="1" applyBorder="1" applyAlignment="1" applyProtection="1">
      <alignment vertical="center"/>
    </xf>
    <xf numFmtId="44" fontId="15" fillId="0" borderId="3" xfId="2" applyFill="1" applyBorder="1" applyAlignment="1" applyProtection="1">
      <alignment vertical="center"/>
    </xf>
    <xf numFmtId="44" fontId="2" fillId="0" borderId="20" xfId="3" applyNumberFormat="1" applyFont="1" applyFill="1" applyBorder="1" applyAlignment="1" applyProtection="1">
      <alignment vertical="center"/>
    </xf>
    <xf numFmtId="44" fontId="2" fillId="0" borderId="2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/>
    <xf numFmtId="15" fontId="3" fillId="0" borderId="0" xfId="0" applyNumberFormat="1" applyFont="1" applyFill="1" applyAlignment="1">
      <alignment vertical="top"/>
    </xf>
    <xf numFmtId="0" fontId="7" fillId="0" borderId="2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4" borderId="0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15" fontId="3" fillId="4" borderId="0" xfId="0" applyNumberFormat="1" applyFont="1" applyFill="1" applyAlignment="1">
      <alignment vertical="top"/>
    </xf>
    <xf numFmtId="168" fontId="15" fillId="4" borderId="7" xfId="2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167" fontId="19" fillId="0" borderId="0" xfId="0" quotePrefix="1" applyNumberFormat="1" applyFont="1"/>
    <xf numFmtId="0" fontId="19" fillId="0" borderId="21" xfId="0" applyFont="1" applyBorder="1"/>
    <xf numFmtId="0" fontId="19" fillId="0" borderId="0" xfId="0" applyFont="1" applyBorder="1"/>
    <xf numFmtId="0" fontId="19" fillId="0" borderId="27" xfId="0" applyFont="1" applyFill="1" applyBorder="1"/>
    <xf numFmtId="0" fontId="19" fillId="0" borderId="0" xfId="0" applyFont="1" applyBorder="1" applyAlignment="1">
      <alignment horizontal="center"/>
    </xf>
    <xf numFmtId="0" fontId="19" fillId="0" borderId="27" xfId="0" applyFont="1" applyBorder="1"/>
    <xf numFmtId="0" fontId="19" fillId="0" borderId="27" xfId="0" applyFont="1" applyFill="1" applyBorder="1" applyAlignment="1">
      <alignment horizontal="center"/>
    </xf>
    <xf numFmtId="43" fontId="19" fillId="0" borderId="0" xfId="1" applyFont="1" applyBorder="1"/>
    <xf numFmtId="43" fontId="19" fillId="0" borderId="27" xfId="1" applyFont="1" applyBorder="1"/>
    <xf numFmtId="10" fontId="19" fillId="0" borderId="27" xfId="4" applyNumberFormat="1" applyFont="1" applyBorder="1"/>
    <xf numFmtId="3" fontId="19" fillId="0" borderId="27" xfId="0" applyNumberFormat="1" applyFont="1" applyFill="1" applyBorder="1" applyAlignment="1">
      <alignment horizontal="center"/>
    </xf>
    <xf numFmtId="0" fontId="19" fillId="0" borderId="22" xfId="0" applyFont="1" applyBorder="1"/>
    <xf numFmtId="0" fontId="19" fillId="0" borderId="17" xfId="0" applyFont="1" applyBorder="1"/>
    <xf numFmtId="3" fontId="19" fillId="0" borderId="29" xfId="0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9" xfId="0" applyFont="1" applyBorder="1"/>
    <xf numFmtId="43" fontId="19" fillId="0" borderId="17" xfId="1" applyFont="1" applyBorder="1"/>
    <xf numFmtId="43" fontId="19" fillId="0" borderId="29" xfId="1" applyFont="1" applyBorder="1"/>
    <xf numFmtId="10" fontId="19" fillId="0" borderId="29" xfId="4" applyNumberFormat="1" applyFont="1" applyBorder="1"/>
    <xf numFmtId="0" fontId="19" fillId="0" borderId="23" xfId="0" applyFont="1" applyBorder="1"/>
    <xf numFmtId="0" fontId="19" fillId="0" borderId="24" xfId="0" applyFont="1" applyBorder="1"/>
    <xf numFmtId="0" fontId="19" fillId="0" borderId="30" xfId="0" applyFont="1" applyFill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30" xfId="0" applyFont="1" applyBorder="1"/>
    <xf numFmtId="43" fontId="19" fillId="0" borderId="24" xfId="1" applyFont="1" applyBorder="1"/>
    <xf numFmtId="43" fontId="19" fillId="0" borderId="30" xfId="1" applyFont="1" applyBorder="1"/>
    <xf numFmtId="10" fontId="19" fillId="0" borderId="30" xfId="0" applyNumberFormat="1" applyFont="1" applyBorder="1"/>
    <xf numFmtId="3" fontId="19" fillId="0" borderId="29" xfId="0" applyNumberFormat="1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3" fontId="19" fillId="0" borderId="27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19" fillId="0" borderId="17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5" xfId="0" applyFont="1" applyBorder="1"/>
    <xf numFmtId="0" fontId="19" fillId="0" borderId="26" xfId="0" applyFont="1" applyBorder="1"/>
    <xf numFmtId="0" fontId="19" fillId="0" borderId="31" xfId="0" applyFont="1" applyBorder="1"/>
    <xf numFmtId="0" fontId="19" fillId="12" borderId="27" xfId="0" applyFont="1" applyFill="1" applyBorder="1" applyAlignment="1">
      <alignment horizontal="center"/>
    </xf>
    <xf numFmtId="10" fontId="19" fillId="12" borderId="27" xfId="4" applyNumberFormat="1" applyFont="1" applyFill="1" applyBorder="1"/>
    <xf numFmtId="3" fontId="19" fillId="13" borderId="27" xfId="0" applyNumberFormat="1" applyFont="1" applyFill="1" applyBorder="1" applyAlignment="1">
      <alignment horizontal="center"/>
    </xf>
    <xf numFmtId="3" fontId="19" fillId="11" borderId="27" xfId="0" applyNumberFormat="1" applyFont="1" applyFill="1" applyBorder="1" applyAlignment="1">
      <alignment horizontal="center"/>
    </xf>
    <xf numFmtId="10" fontId="19" fillId="11" borderId="27" xfId="4" applyNumberFormat="1" applyFont="1" applyFill="1" applyBorder="1"/>
    <xf numFmtId="0" fontId="19" fillId="13" borderId="0" xfId="0" applyFont="1" applyFill="1" applyBorder="1" applyAlignment="1">
      <alignment horizontal="center"/>
    </xf>
    <xf numFmtId="10" fontId="19" fillId="13" borderId="27" xfId="4" applyNumberFormat="1" applyFont="1" applyFill="1" applyBorder="1"/>
    <xf numFmtId="3" fontId="19" fillId="14" borderId="27" xfId="0" applyNumberFormat="1" applyFont="1" applyFill="1" applyBorder="1" applyAlignment="1">
      <alignment horizontal="center"/>
    </xf>
    <xf numFmtId="3" fontId="19" fillId="14" borderId="0" xfId="0" applyNumberFormat="1" applyFont="1" applyFill="1" applyBorder="1" applyAlignment="1">
      <alignment horizontal="center"/>
    </xf>
    <xf numFmtId="10" fontId="19" fillId="14" borderId="27" xfId="4" applyNumberFormat="1" applyFont="1" applyFill="1" applyBorder="1"/>
    <xf numFmtId="10" fontId="19" fillId="15" borderId="27" xfId="4" applyNumberFormat="1" applyFont="1" applyFill="1" applyBorder="1"/>
    <xf numFmtId="10" fontId="19" fillId="16" borderId="27" xfId="4" applyNumberFormat="1" applyFont="1" applyFill="1" applyBorder="1"/>
    <xf numFmtId="169" fontId="19" fillId="17" borderId="27" xfId="1" applyNumberFormat="1" applyFont="1" applyFill="1" applyBorder="1" applyAlignment="1">
      <alignment horizontal="center"/>
    </xf>
    <xf numFmtId="169" fontId="19" fillId="17" borderId="0" xfId="1" applyNumberFormat="1" applyFont="1" applyFill="1" applyBorder="1" applyAlignment="1">
      <alignment horizontal="center"/>
    </xf>
    <xf numFmtId="10" fontId="19" fillId="17" borderId="27" xfId="4" applyNumberFormat="1" applyFont="1" applyFill="1" applyBorder="1"/>
    <xf numFmtId="3" fontId="19" fillId="15" borderId="27" xfId="0" applyNumberFormat="1" applyFont="1" applyFill="1" applyBorder="1" applyAlignment="1">
      <alignment horizontal="center"/>
    </xf>
    <xf numFmtId="0" fontId="19" fillId="16" borderId="27" xfId="0" applyFont="1" applyFill="1" applyBorder="1" applyAlignment="1">
      <alignment horizontal="center"/>
    </xf>
    <xf numFmtId="0" fontId="19" fillId="16" borderId="0" xfId="0" applyFont="1" applyFill="1" applyBorder="1" applyAlignment="1">
      <alignment horizontal="center"/>
    </xf>
    <xf numFmtId="164" fontId="0" fillId="0" borderId="3" xfId="0" applyNumberFormat="1" applyFill="1" applyBorder="1" applyAlignment="1" applyProtection="1">
      <alignment vertical="center"/>
    </xf>
    <xf numFmtId="165" fontId="21" fillId="4" borderId="7" xfId="2" applyNumberFormat="1" applyFont="1" applyFill="1" applyBorder="1" applyAlignment="1" applyProtection="1">
      <alignment vertical="center"/>
      <protection locked="0"/>
    </xf>
    <xf numFmtId="43" fontId="2" fillId="4" borderId="1" xfId="1" applyFont="1" applyFill="1" applyBorder="1" applyProtection="1">
      <protection locked="0"/>
    </xf>
    <xf numFmtId="43" fontId="0" fillId="0" borderId="7" xfId="1" applyFont="1" applyFill="1" applyBorder="1" applyAlignment="1" applyProtection="1">
      <alignment vertical="center"/>
    </xf>
    <xf numFmtId="43" fontId="0" fillId="5" borderId="1" xfId="1" applyFont="1" applyFill="1" applyBorder="1" applyAlignment="1" applyProtection="1">
      <alignment vertical="center"/>
      <protection locked="0"/>
    </xf>
    <xf numFmtId="43" fontId="0" fillId="5" borderId="1" xfId="1" applyFont="1" applyFill="1" applyBorder="1" applyAlignment="1" applyProtection="1">
      <alignment vertical="center"/>
    </xf>
    <xf numFmtId="43" fontId="7" fillId="7" borderId="7" xfId="1" applyFont="1" applyFill="1" applyBorder="1" applyAlignment="1" applyProtection="1">
      <alignment vertical="center"/>
    </xf>
    <xf numFmtId="43" fontId="2" fillId="5" borderId="10" xfId="1" applyFont="1" applyFill="1" applyBorder="1" applyAlignment="1" applyProtection="1">
      <alignment vertical="center"/>
    </xf>
    <xf numFmtId="43" fontId="0" fillId="0" borderId="3" xfId="1" applyFont="1" applyFill="1" applyBorder="1" applyAlignment="1" applyProtection="1">
      <alignment vertical="center"/>
    </xf>
    <xf numFmtId="43" fontId="0" fillId="5" borderId="10" xfId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horizontal="center"/>
    </xf>
    <xf numFmtId="10" fontId="19" fillId="0" borderId="27" xfId="4" applyNumberFormat="1" applyFont="1" applyFill="1" applyBorder="1"/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11" borderId="28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16" fillId="0" borderId="0" xfId="0" applyFont="1" applyFill="1" applyProtection="1"/>
    <xf numFmtId="0" fontId="18" fillId="0" borderId="0" xfId="0" applyFont="1" applyFill="1" applyProtection="1"/>
    <xf numFmtId="44" fontId="21" fillId="4" borderId="7" xfId="2" applyNumberFormat="1" applyFont="1" applyFill="1" applyBorder="1" applyAlignment="1" applyProtection="1">
      <alignment vertical="top"/>
      <protection locked="0"/>
    </xf>
    <xf numFmtId="44" fontId="21" fillId="4" borderId="7" xfId="2" applyNumberFormat="1" applyFont="1" applyFill="1" applyBorder="1" applyAlignment="1" applyProtection="1">
      <alignment vertical="center"/>
      <protection locked="0"/>
    </xf>
    <xf numFmtId="165" fontId="21" fillId="4" borderId="7" xfId="2" applyNumberFormat="1" applyFont="1" applyFill="1" applyBorder="1" applyAlignment="1" applyProtection="1">
      <alignment vertical="top"/>
      <protection locked="0"/>
    </xf>
    <xf numFmtId="165" fontId="21" fillId="5" borderId="1" xfId="2" applyNumberFormat="1" applyFont="1" applyFill="1" applyBorder="1" applyAlignment="1" applyProtection="1">
      <alignment vertical="top"/>
      <protection locked="0"/>
    </xf>
    <xf numFmtId="165" fontId="21" fillId="0" borderId="7" xfId="2" applyNumberFormat="1" applyFont="1" applyFill="1" applyBorder="1" applyAlignment="1" applyProtection="1">
      <alignment vertical="top"/>
      <protection locked="0"/>
    </xf>
    <xf numFmtId="0" fontId="21" fillId="5" borderId="1" xfId="0" applyFont="1" applyFill="1" applyBorder="1" applyProtection="1"/>
    <xf numFmtId="0" fontId="21" fillId="5" borderId="1" xfId="0" applyFont="1" applyFill="1" applyBorder="1" applyAlignment="1" applyProtection="1">
      <alignment vertical="center"/>
    </xf>
    <xf numFmtId="1" fontId="21" fillId="0" borderId="7" xfId="0" applyNumberFormat="1" applyFont="1" applyFill="1" applyBorder="1" applyAlignment="1" applyProtection="1">
      <alignment vertical="center"/>
    </xf>
    <xf numFmtId="1" fontId="21" fillId="0" borderId="3" xfId="0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vertical="top"/>
    </xf>
    <xf numFmtId="10" fontId="21" fillId="4" borderId="1" xfId="4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7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164" fontId="2" fillId="11" borderId="1" xfId="1" applyNumberFormat="1" applyFont="1" applyFill="1" applyBorder="1" applyProtection="1">
      <protection locked="0"/>
    </xf>
    <xf numFmtId="0" fontId="7" fillId="0" borderId="0" xfId="0" applyFont="1" applyFill="1" applyProtection="1"/>
    <xf numFmtId="0" fontId="7" fillId="0" borderId="12" xfId="0" applyFont="1" applyFill="1" applyBorder="1" applyProtection="1"/>
    <xf numFmtId="0" fontId="0" fillId="0" borderId="13" xfId="0" applyFill="1" applyBorder="1" applyAlignment="1" applyProtection="1">
      <alignment vertical="top"/>
    </xf>
    <xf numFmtId="0" fontId="0" fillId="0" borderId="13" xfId="0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wrapText="1" indent="1"/>
    </xf>
    <xf numFmtId="0" fontId="0" fillId="5" borderId="1" xfId="0" applyFont="1" applyFill="1" applyBorder="1" applyProtection="1"/>
    <xf numFmtId="168" fontId="21" fillId="4" borderId="7" xfId="2" applyNumberFormat="1" applyFont="1" applyFill="1" applyBorder="1" applyAlignment="1" applyProtection="1">
      <alignment vertical="top"/>
      <protection locked="0"/>
    </xf>
    <xf numFmtId="0" fontId="21" fillId="0" borderId="1" xfId="0" applyFont="1" applyFill="1" applyBorder="1" applyAlignment="1" applyProtection="1">
      <alignment vertical="center"/>
    </xf>
    <xf numFmtId="166" fontId="15" fillId="4" borderId="1" xfId="4" applyNumberFormat="1" applyFill="1" applyBorder="1" applyProtection="1">
      <protection locked="0"/>
    </xf>
    <xf numFmtId="170" fontId="15" fillId="4" borderId="7" xfId="2" applyNumberFormat="1" applyFont="1" applyFill="1" applyBorder="1" applyAlignment="1" applyProtection="1">
      <alignment vertical="center"/>
      <protection locked="0"/>
    </xf>
    <xf numFmtId="43" fontId="21" fillId="0" borderId="7" xfId="1" applyFont="1" applyFill="1" applyBorder="1" applyAlignment="1" applyProtection="1">
      <alignment vertical="center"/>
    </xf>
    <xf numFmtId="43" fontId="21" fillId="0" borderId="3" xfId="1" applyFont="1" applyFill="1" applyBorder="1" applyAlignment="1" applyProtection="1">
      <alignment vertical="center"/>
    </xf>
    <xf numFmtId="170" fontId="21" fillId="4" borderId="7" xfId="2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top"/>
    </xf>
    <xf numFmtId="0" fontId="5" fillId="11" borderId="1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3" fontId="19" fillId="0" borderId="0" xfId="1" applyFont="1" applyFill="1" applyBorder="1"/>
    <xf numFmtId="43" fontId="19" fillId="0" borderId="27" xfId="1" applyFont="1" applyFill="1" applyBorder="1"/>
    <xf numFmtId="0" fontId="19" fillId="0" borderId="22" xfId="0" applyFont="1" applyFill="1" applyBorder="1"/>
    <xf numFmtId="0" fontId="19" fillId="0" borderId="17" xfId="0" applyFont="1" applyFill="1" applyBorder="1"/>
    <xf numFmtId="0" fontId="19" fillId="0" borderId="17" xfId="0" applyFont="1" applyFill="1" applyBorder="1" applyAlignment="1">
      <alignment horizontal="center"/>
    </xf>
    <xf numFmtId="0" fontId="19" fillId="0" borderId="29" xfId="0" applyFont="1" applyFill="1" applyBorder="1"/>
    <xf numFmtId="43" fontId="19" fillId="0" borderId="17" xfId="1" applyFont="1" applyFill="1" applyBorder="1"/>
    <xf numFmtId="43" fontId="19" fillId="0" borderId="29" xfId="1" applyFont="1" applyFill="1" applyBorder="1"/>
    <xf numFmtId="10" fontId="19" fillId="0" borderId="29" xfId="4" applyNumberFormat="1" applyFont="1" applyFill="1" applyBorder="1"/>
    <xf numFmtId="0" fontId="19" fillId="0" borderId="23" xfId="0" applyFont="1" applyFill="1" applyBorder="1"/>
    <xf numFmtId="0" fontId="19" fillId="0" borderId="24" xfId="0" applyFont="1" applyFill="1" applyBorder="1"/>
    <xf numFmtId="0" fontId="19" fillId="0" borderId="24" xfId="0" applyFont="1" applyFill="1" applyBorder="1" applyAlignment="1">
      <alignment horizontal="center"/>
    </xf>
    <xf numFmtId="0" fontId="19" fillId="0" borderId="30" xfId="0" applyFont="1" applyFill="1" applyBorder="1"/>
    <xf numFmtId="43" fontId="19" fillId="0" borderId="24" xfId="1" applyFont="1" applyFill="1" applyBorder="1"/>
    <xf numFmtId="43" fontId="19" fillId="0" borderId="30" xfId="1" applyFont="1" applyFill="1" applyBorder="1"/>
    <xf numFmtId="10" fontId="19" fillId="0" borderId="30" xfId="0" applyNumberFormat="1" applyFont="1" applyFill="1" applyBorder="1"/>
    <xf numFmtId="3" fontId="19" fillId="0" borderId="17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25" xfId="0" applyFont="1" applyFill="1" applyBorder="1"/>
    <xf numFmtId="0" fontId="19" fillId="0" borderId="26" xfId="0" applyFont="1" applyFill="1" applyBorder="1"/>
    <xf numFmtId="0" fontId="19" fillId="0" borderId="31" xfId="0" applyFont="1" applyFill="1" applyBorder="1"/>
    <xf numFmtId="169" fontId="19" fillId="0" borderId="27" xfId="1" applyNumberFormat="1" applyFont="1" applyFill="1" applyBorder="1" applyAlignment="1">
      <alignment horizontal="center"/>
    </xf>
    <xf numFmtId="169" fontId="19" fillId="0" borderId="0" xfId="1" applyNumberFormat="1" applyFont="1" applyFill="1" applyBorder="1" applyAlignment="1">
      <alignment horizontal="center"/>
    </xf>
    <xf numFmtId="0" fontId="23" fillId="0" borderId="0" xfId="0" applyFont="1"/>
    <xf numFmtId="0" fontId="3" fillId="0" borderId="0" xfId="0" applyFont="1" applyAlignment="1">
      <alignment horizontal="right" vertical="top"/>
    </xf>
    <xf numFmtId="0" fontId="3" fillId="4" borderId="0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67" fontId="3" fillId="4" borderId="0" xfId="0" applyNumberFormat="1" applyFont="1" applyFill="1" applyAlignment="1">
      <alignment horizontal="right" vertical="top"/>
    </xf>
    <xf numFmtId="0" fontId="6" fillId="0" borderId="0" xfId="0" applyFont="1" applyAlignment="1" applyProtection="1">
      <alignment horizontal="center"/>
    </xf>
    <xf numFmtId="0" fontId="3" fillId="0" borderId="0" xfId="0" applyFont="1" applyAlignment="1">
      <alignment horizontal="right" vertical="top"/>
    </xf>
    <xf numFmtId="0" fontId="3" fillId="4" borderId="0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67" fontId="3" fillId="4" borderId="0" xfId="0" applyNumberFormat="1" applyFont="1" applyFill="1" applyAlignment="1">
      <alignment horizontal="right" vertical="top"/>
    </xf>
    <xf numFmtId="0" fontId="5" fillId="11" borderId="0" xfId="0" applyFont="1" applyFill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9" borderId="0" xfId="3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0" fillId="0" borderId="5" xfId="0" applyBorder="1" applyAlignment="1">
      <alignment wrapText="1"/>
    </xf>
    <xf numFmtId="0" fontId="2" fillId="0" borderId="3" xfId="0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9" fillId="0" borderId="0" xfId="0" applyFont="1" applyFill="1" applyAlignment="1" applyProtection="1">
      <alignment horizontal="left" vertical="top" wrapText="1" indent="1"/>
    </xf>
    <xf numFmtId="0" fontId="2" fillId="9" borderId="0" xfId="0" applyFont="1" applyFill="1" applyAlignment="1" applyProtection="1">
      <alignment horizontal="left" vertical="top" wrapText="1"/>
    </xf>
    <xf numFmtId="0" fontId="9" fillId="0" borderId="0" xfId="3" applyFont="1" applyAlignment="1" applyProtection="1">
      <alignment horizontal="left" vertical="top" wrapText="1" indent="1"/>
    </xf>
    <xf numFmtId="0" fontId="5" fillId="4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top" wrapText="1" indent="1"/>
    </xf>
    <xf numFmtId="0" fontId="9" fillId="0" borderId="0" xfId="3" applyFont="1" applyFill="1" applyAlignment="1" applyProtection="1">
      <alignment horizontal="left" vertical="top" wrapText="1" indent="1"/>
    </xf>
    <xf numFmtId="0" fontId="7" fillId="17" borderId="21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19" fillId="12" borderId="21" xfId="0" applyFont="1" applyFill="1" applyBorder="1" applyAlignment="1">
      <alignment horizontal="center"/>
    </xf>
    <xf numFmtId="0" fontId="19" fillId="12" borderId="0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11" borderId="21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7" fillId="13" borderId="21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6" borderId="21" xfId="0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  <xf numFmtId="0" fontId="22" fillId="11" borderId="12" xfId="0" applyFont="1" applyFill="1" applyBorder="1" applyAlignment="1">
      <alignment horizontal="center"/>
    </xf>
    <xf numFmtId="0" fontId="22" fillId="11" borderId="13" xfId="0" applyFont="1" applyFill="1" applyBorder="1" applyAlignment="1">
      <alignment horizontal="center"/>
    </xf>
    <xf numFmtId="0" fontId="22" fillId="11" borderId="16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CCFFFF"/>
      <color rgb="FFFFFFCC"/>
      <color rgb="FF99CCFF"/>
      <color rgb="FFCCECFF"/>
      <color rgb="FFFFCCFF"/>
      <color rgb="FFCCCCFF"/>
      <color rgb="FFFF99CC"/>
      <color rgb="FFCCFFCC"/>
      <color rgb="FFFF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New%20Working%20Models%20August%202013/Revised_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1.5546875" style="7" customWidth="1"/>
    <col min="15" max="15" width="10.88671875" style="7" bestFit="1" customWidth="1"/>
    <col min="16" max="16" width="6.441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</row>
    <row r="4" spans="1:20" s="2" customFormat="1" ht="15" customHeight="1" x14ac:dyDescent="0.25">
      <c r="L4" s="3"/>
      <c r="N4" s="4"/>
      <c r="O4"/>
    </row>
    <row r="5" spans="1:20" s="2" customFormat="1" ht="15" x14ac:dyDescent="0.25">
      <c r="L5" s="3" t="s">
        <v>76</v>
      </c>
      <c r="N5" s="351">
        <v>42125</v>
      </c>
      <c r="O5" s="351"/>
    </row>
    <row r="6" spans="1:20" s="2" customFormat="1" ht="15" customHeight="1" x14ac:dyDescent="0.25">
      <c r="N6" s="7"/>
      <c r="O6"/>
      <c r="P6"/>
    </row>
    <row r="7" spans="1:20" ht="1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52" t="s">
        <v>59</v>
      </c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279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279"/>
      <c r="N15" s="10"/>
      <c r="O15" s="10"/>
    </row>
    <row r="16" spans="1:20" ht="15" x14ac:dyDescent="0.25">
      <c r="B16" s="12"/>
      <c r="D16" s="13" t="s">
        <v>6</v>
      </c>
      <c r="E16" s="13"/>
      <c r="F16" s="298">
        <v>100</v>
      </c>
      <c r="G16" s="13" t="s">
        <v>7</v>
      </c>
      <c r="J16" s="280"/>
      <c r="K16" s="34"/>
      <c r="L16" s="34"/>
      <c r="M16" s="34"/>
    </row>
    <row r="17" spans="2:15" ht="15" x14ac:dyDescent="0.25">
      <c r="B17" s="12"/>
      <c r="F17" s="281"/>
      <c r="G17" s="34"/>
      <c r="H17" s="34"/>
      <c r="J17" s="281"/>
      <c r="K17" s="34"/>
      <c r="L17" s="34"/>
      <c r="M17" s="34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15.2</v>
      </c>
      <c r="G21" s="26">
        <v>1</v>
      </c>
      <c r="H21" s="27">
        <f>G21*F21</f>
        <v>15.2</v>
      </c>
      <c r="I21" s="28"/>
      <c r="J21" s="283"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v>0</v>
      </c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v>2.11</v>
      </c>
      <c r="G23" s="26">
        <v>1</v>
      </c>
      <c r="H23" s="27">
        <f t="shared" si="0"/>
        <v>2.11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-2.11</v>
      </c>
      <c r="O23" s="32">
        <f t="shared" ref="O23:O37" si="3">IF((H23)=0,"",(N23/H23))</f>
        <v>-1</v>
      </c>
    </row>
    <row r="24" spans="2:15" ht="15" x14ac:dyDescent="0.25">
      <c r="B24" s="297" t="s">
        <v>95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283"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v>-1E-4</v>
      </c>
      <c r="G25" s="26">
        <f>$F$16</f>
        <v>100</v>
      </c>
      <c r="H25" s="27">
        <f t="shared" si="0"/>
        <v>-0.01</v>
      </c>
      <c r="I25" s="28"/>
      <c r="J25" s="263"/>
      <c r="K25" s="26">
        <f>$F$16</f>
        <v>100</v>
      </c>
      <c r="L25" s="27">
        <f t="shared" si="1"/>
        <v>0</v>
      </c>
      <c r="M25" s="28"/>
      <c r="N25" s="31">
        <f t="shared" si="2"/>
        <v>0.01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100</v>
      </c>
      <c r="H26" s="27">
        <f t="shared" si="0"/>
        <v>0</v>
      </c>
      <c r="I26" s="28"/>
      <c r="J26" s="263">
        <v>-5.9999999999999995E-4</v>
      </c>
      <c r="K26" s="26">
        <f>$F$16</f>
        <v>100</v>
      </c>
      <c r="L26" s="27">
        <f t="shared" si="1"/>
        <v>-0.06</v>
      </c>
      <c r="M26" s="28"/>
      <c r="N26" s="31">
        <f t="shared" si="2"/>
        <v>-0.06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v>1.9199999999999998E-2</v>
      </c>
      <c r="G27" s="26">
        <f>$F$16</f>
        <v>100</v>
      </c>
      <c r="H27" s="27">
        <f t="shared" si="0"/>
        <v>1.92</v>
      </c>
      <c r="I27" s="28"/>
      <c r="J27" s="263">
        <v>2.1700000000000001E-2</v>
      </c>
      <c r="K27" s="26">
        <f>$F$16</f>
        <v>100</v>
      </c>
      <c r="L27" s="27">
        <f t="shared" si="1"/>
        <v>2.17</v>
      </c>
      <c r="M27" s="28"/>
      <c r="N27" s="31">
        <f t="shared" si="2"/>
        <v>0.25</v>
      </c>
      <c r="O27" s="32">
        <f t="shared" si="3"/>
        <v>0.13020833333333334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100</v>
      </c>
      <c r="H28" s="27">
        <f t="shared" si="0"/>
        <v>0</v>
      </c>
      <c r="I28" s="28"/>
      <c r="J28" s="29"/>
      <c r="K28" s="26">
        <f t="shared" ref="K28:K36" si="4">$F$16</f>
        <v>100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100</v>
      </c>
      <c r="H29" s="27">
        <f t="shared" si="0"/>
        <v>0</v>
      </c>
      <c r="I29" s="28"/>
      <c r="J29" s="29"/>
      <c r="K29" s="26">
        <f t="shared" si="4"/>
        <v>100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100</v>
      </c>
      <c r="H30" s="27">
        <f t="shared" si="0"/>
        <v>0</v>
      </c>
      <c r="I30" s="28"/>
      <c r="J30" s="29"/>
      <c r="K30" s="26">
        <f t="shared" si="4"/>
        <v>100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100</v>
      </c>
      <c r="H31" s="27">
        <f t="shared" si="0"/>
        <v>0</v>
      </c>
      <c r="I31" s="28"/>
      <c r="J31" s="29"/>
      <c r="K31" s="26">
        <f t="shared" si="4"/>
        <v>100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100</v>
      </c>
      <c r="H32" s="27">
        <f t="shared" si="0"/>
        <v>0</v>
      </c>
      <c r="I32" s="28"/>
      <c r="J32" s="29"/>
      <c r="K32" s="26">
        <f t="shared" si="4"/>
        <v>100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100</v>
      </c>
      <c r="H33" s="27">
        <f t="shared" si="0"/>
        <v>0</v>
      </c>
      <c r="I33" s="28"/>
      <c r="J33" s="29"/>
      <c r="K33" s="26">
        <f t="shared" si="4"/>
        <v>100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100</v>
      </c>
      <c r="H34" s="27">
        <f t="shared" si="0"/>
        <v>0</v>
      </c>
      <c r="I34" s="28"/>
      <c r="J34" s="29"/>
      <c r="K34" s="26">
        <f t="shared" si="4"/>
        <v>100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100</v>
      </c>
      <c r="H35" s="27">
        <f t="shared" si="0"/>
        <v>0</v>
      </c>
      <c r="I35" s="28"/>
      <c r="J35" s="29"/>
      <c r="K35" s="26">
        <f t="shared" si="4"/>
        <v>100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100</v>
      </c>
      <c r="H36" s="27">
        <f t="shared" si="0"/>
        <v>0</v>
      </c>
      <c r="I36" s="28"/>
      <c r="J36" s="29"/>
      <c r="K36" s="26">
        <f t="shared" si="4"/>
        <v>100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19.22</v>
      </c>
      <c r="I37" s="41"/>
      <c r="J37" s="42"/>
      <c r="K37" s="43"/>
      <c r="L37" s="40">
        <f>SUM(L21:L36)</f>
        <v>19.895191548721073</v>
      </c>
      <c r="M37" s="41"/>
      <c r="N37" s="44">
        <f t="shared" si="2"/>
        <v>0.67519154872107379</v>
      </c>
      <c r="O37" s="45">
        <f t="shared" si="3"/>
        <v>3.5129633128047545E-2</v>
      </c>
    </row>
    <row r="38" spans="2:15" ht="15" hidden="1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v>-1.4E-3</v>
      </c>
      <c r="G39" s="26">
        <f>$F$16</f>
        <v>100</v>
      </c>
      <c r="H39" s="27">
        <f t="shared" ref="H39:H45" si="6">G39*F39</f>
        <v>-0.13999999999999999</v>
      </c>
      <c r="I39" s="28"/>
      <c r="J39" s="263">
        <v>1.6265827088216363E-3</v>
      </c>
      <c r="K39" s="26">
        <f>$F$16</f>
        <v>100</v>
      </c>
      <c r="L39" s="27">
        <f t="shared" ref="L39:L45" si="7">K39*J39</f>
        <v>0.16265827088216361</v>
      </c>
      <c r="M39" s="28"/>
      <c r="N39" s="31">
        <f t="shared" ref="N39:N45" si="8">L39-H39</f>
        <v>0.30265827088216357</v>
      </c>
      <c r="O39" s="32">
        <f t="shared" ref="O39:O44" si="9">IF((H39)=0,"",(N39/H39))</f>
        <v>-2.1618447920154544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100</v>
      </c>
      <c r="H40" s="27">
        <f t="shared" si="6"/>
        <v>0</v>
      </c>
      <c r="I40" s="47"/>
      <c r="J40" s="29"/>
      <c r="K40" s="26">
        <f>$F$16</f>
        <v>100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100</v>
      </c>
      <c r="H41" s="27">
        <f t="shared" si="6"/>
        <v>0</v>
      </c>
      <c r="I41" s="47"/>
      <c r="J41" s="29"/>
      <c r="K41" s="26">
        <f>$F$16</f>
        <v>100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100</v>
      </c>
      <c r="H42" s="27">
        <f t="shared" si="6"/>
        <v>0</v>
      </c>
      <c r="I42" s="47"/>
      <c r="J42" s="29"/>
      <c r="K42" s="26">
        <f>$F$16</f>
        <v>100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v>1E-4</v>
      </c>
      <c r="G43" s="26">
        <f>$F$16</f>
        <v>100</v>
      </c>
      <c r="H43" s="27">
        <f t="shared" si="6"/>
        <v>0.01</v>
      </c>
      <c r="I43" s="28"/>
      <c r="J43" s="29">
        <v>2.0000000000000001E-4</v>
      </c>
      <c r="K43" s="26">
        <f>$F$16</f>
        <v>100</v>
      </c>
      <c r="L43" s="27">
        <f t="shared" si="7"/>
        <v>0.02</v>
      </c>
      <c r="M43" s="28"/>
      <c r="N43" s="31">
        <f t="shared" si="8"/>
        <v>0.01</v>
      </c>
      <c r="O43" s="32">
        <f t="shared" si="9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4.039999999999992</v>
      </c>
      <c r="H44" s="184">
        <f t="shared" si="6"/>
        <v>0.38379999999999925</v>
      </c>
      <c r="I44" s="57"/>
      <c r="J44" s="185">
        <f>0.64*$F$54+0.18*$F$55+0.18*$F$56</f>
        <v>9.5000000000000001E-2</v>
      </c>
      <c r="K44" s="26">
        <f>$F$16*(1+$J$73)-$F$16</f>
        <v>3.6200000000000045</v>
      </c>
      <c r="L44" s="184">
        <f t="shared" si="7"/>
        <v>0.34390000000000043</v>
      </c>
      <c r="M44" s="57"/>
      <c r="N44" s="186">
        <f t="shared" si="8"/>
        <v>-3.9899999999998825E-2</v>
      </c>
      <c r="O44" s="187">
        <f t="shared" si="9"/>
        <v>-0.1039603960396011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20.263799999999996</v>
      </c>
      <c r="I46" s="41"/>
      <c r="J46" s="53"/>
      <c r="K46" s="55"/>
      <c r="L46" s="54">
        <f>SUM(L38:L45)+L37</f>
        <v>21.211749819603238</v>
      </c>
      <c r="M46" s="41"/>
      <c r="N46" s="44">
        <f t="shared" ref="N46:N64" si="10">L46-H46</f>
        <v>0.94794981960324165</v>
      </c>
      <c r="O46" s="45">
        <f t="shared" ref="O46:O64" si="11">IF((H46)=0,"",(N46/H46))</f>
        <v>4.6780456755556303E-2</v>
      </c>
    </row>
    <row r="47" spans="2:15" x14ac:dyDescent="0.3">
      <c r="B47" s="57" t="s">
        <v>28</v>
      </c>
      <c r="C47" s="28"/>
      <c r="D47" s="56" t="s">
        <v>61</v>
      </c>
      <c r="E47" s="57"/>
      <c r="F47" s="263">
        <v>7.6E-3</v>
      </c>
      <c r="G47" s="69">
        <f>F16*(1+F73)</f>
        <v>104.03999999999999</v>
      </c>
      <c r="H47" s="27">
        <f>G47*F47</f>
        <v>0.79070399999999996</v>
      </c>
      <c r="I47" s="28"/>
      <c r="J47" s="263">
        <v>7.4000000000000003E-3</v>
      </c>
      <c r="K47" s="70">
        <f>F16*(1+J73)</f>
        <v>103.62</v>
      </c>
      <c r="L47" s="27">
        <f>K47*J47</f>
        <v>0.76678800000000003</v>
      </c>
      <c r="M47" s="28"/>
      <c r="N47" s="31">
        <f t="shared" si="10"/>
        <v>-2.3915999999999937E-2</v>
      </c>
      <c r="O47" s="32">
        <f t="shared" si="11"/>
        <v>-3.0246463910641577E-2</v>
      </c>
    </row>
    <row r="48" spans="2:15" x14ac:dyDescent="0.3">
      <c r="B48" s="295" t="s">
        <v>29</v>
      </c>
      <c r="C48" s="28"/>
      <c r="D48" s="56" t="s">
        <v>61</v>
      </c>
      <c r="E48" s="57"/>
      <c r="F48" s="263">
        <v>2.3E-3</v>
      </c>
      <c r="G48" s="69">
        <f>G47</f>
        <v>104.03999999999999</v>
      </c>
      <c r="H48" s="27">
        <f>G48*F48</f>
        <v>0.23929199999999998</v>
      </c>
      <c r="I48" s="28"/>
      <c r="J48" s="263">
        <v>2.3E-3</v>
      </c>
      <c r="K48" s="70">
        <f>K47</f>
        <v>103.62</v>
      </c>
      <c r="L48" s="27">
        <f>K48*J48</f>
        <v>0.23832600000000001</v>
      </c>
      <c r="M48" s="28"/>
      <c r="N48" s="31">
        <f t="shared" si="10"/>
        <v>-9.6599999999996689E-4</v>
      </c>
      <c r="O48" s="32">
        <f t="shared" si="11"/>
        <v>-4.0369088811994004E-3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21.293795999999997</v>
      </c>
      <c r="I49" s="61"/>
      <c r="J49" s="62"/>
      <c r="K49" s="62"/>
      <c r="L49" s="54">
        <f>SUM(L46:L48)</f>
        <v>22.21686381960324</v>
      </c>
      <c r="M49" s="61"/>
      <c r="N49" s="44">
        <f t="shared" si="10"/>
        <v>0.92306781960324358</v>
      </c>
      <c r="O49" s="45">
        <f t="shared" si="11"/>
        <v>4.3349143553514075E-2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104.03999999999999</v>
      </c>
      <c r="H50" s="66">
        <f t="shared" ref="H50:H56" si="12">G50*F50</f>
        <v>0.45777600000000002</v>
      </c>
      <c r="I50" s="28"/>
      <c r="J50" s="67">
        <v>4.4000000000000003E-3</v>
      </c>
      <c r="K50" s="70">
        <f>K48</f>
        <v>103.62</v>
      </c>
      <c r="L50" s="66">
        <f t="shared" ref="L50:L56" si="13">K50*J50</f>
        <v>0.45592800000000006</v>
      </c>
      <c r="M50" s="28"/>
      <c r="N50" s="31">
        <f t="shared" si="10"/>
        <v>-1.8479999999999608E-3</v>
      </c>
      <c r="O50" s="68">
        <f t="shared" si="11"/>
        <v>-4.0369088811994525E-3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104.03999999999999</v>
      </c>
      <c r="H51" s="66">
        <f t="shared" si="12"/>
        <v>0.13525199999999998</v>
      </c>
      <c r="I51" s="28"/>
      <c r="J51" s="65">
        <v>1.2999999999999999E-3</v>
      </c>
      <c r="K51" s="70">
        <f>K48</f>
        <v>103.62</v>
      </c>
      <c r="L51" s="66">
        <f t="shared" si="13"/>
        <v>0.13470599999999999</v>
      </c>
      <c r="M51" s="28"/>
      <c r="N51" s="31">
        <f t="shared" si="10"/>
        <v>-5.4599999999999094E-4</v>
      </c>
      <c r="O51" s="68">
        <f t="shared" si="11"/>
        <v>-4.0369088811994724E-3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3">
      <c r="B53" s="24" t="s">
        <v>34</v>
      </c>
      <c r="C53" s="24"/>
      <c r="D53" s="23" t="s">
        <v>61</v>
      </c>
      <c r="E53" s="24"/>
      <c r="F53" s="65">
        <v>7.0000000000000001E-3</v>
      </c>
      <c r="G53" s="69">
        <f>F16</f>
        <v>100</v>
      </c>
      <c r="H53" s="66">
        <f t="shared" si="12"/>
        <v>0.70000000000000007</v>
      </c>
      <c r="I53" s="28"/>
      <c r="J53" s="67">
        <f>0.007</f>
        <v>7.0000000000000001E-3</v>
      </c>
      <c r="K53" s="70">
        <f>F16</f>
        <v>100</v>
      </c>
      <c r="L53" s="66">
        <f t="shared" si="13"/>
        <v>0.70000000000000007</v>
      </c>
      <c r="M53" s="28"/>
      <c r="N53" s="31">
        <f t="shared" si="10"/>
        <v>0</v>
      </c>
      <c r="O53" s="68">
        <f t="shared" si="11"/>
        <v>0</v>
      </c>
    </row>
    <row r="54" spans="2:19" x14ac:dyDescent="0.3">
      <c r="B54" s="181" t="s">
        <v>35</v>
      </c>
      <c r="C54" s="22"/>
      <c r="D54" s="23" t="s">
        <v>61</v>
      </c>
      <c r="E54" s="24"/>
      <c r="F54" s="65">
        <v>7.6999999999999999E-2</v>
      </c>
      <c r="G54" s="69">
        <f>0.64*$F$16</f>
        <v>64</v>
      </c>
      <c r="H54" s="66">
        <f t="shared" si="12"/>
        <v>4.9279999999999999</v>
      </c>
      <c r="I54" s="28"/>
      <c r="J54" s="284">
        <f>+F54</f>
        <v>7.6999999999999999E-2</v>
      </c>
      <c r="K54" s="69">
        <f>G54</f>
        <v>64</v>
      </c>
      <c r="L54" s="66">
        <f t="shared" si="13"/>
        <v>4.9279999999999999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v>0.114</v>
      </c>
      <c r="G55" s="69">
        <f>0.18*$F$16</f>
        <v>18</v>
      </c>
      <c r="H55" s="66">
        <f t="shared" si="12"/>
        <v>2.052</v>
      </c>
      <c r="I55" s="28"/>
      <c r="J55" s="284">
        <f>+F55</f>
        <v>0.114</v>
      </c>
      <c r="K55" s="69">
        <f>G55</f>
        <v>18</v>
      </c>
      <c r="L55" s="66">
        <f t="shared" si="13"/>
        <v>2.052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v>0.14000000000000001</v>
      </c>
      <c r="G56" s="69">
        <f>0.18*$F$16</f>
        <v>18</v>
      </c>
      <c r="H56" s="66">
        <f t="shared" si="12"/>
        <v>2.5200000000000005</v>
      </c>
      <c r="I56" s="28"/>
      <c r="J56" s="284">
        <f>+F56</f>
        <v>0.14000000000000001</v>
      </c>
      <c r="K56" s="69">
        <f>G56</f>
        <v>18</v>
      </c>
      <c r="L56" s="66">
        <f t="shared" si="13"/>
        <v>2.5200000000000005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5">
      <c r="B57" s="291" t="s">
        <v>84</v>
      </c>
      <c r="C57" s="75"/>
      <c r="D57" s="76" t="s">
        <v>61</v>
      </c>
      <c r="E57" s="77"/>
      <c r="F57" s="65">
        <v>8.7999999999999995E-2</v>
      </c>
      <c r="G57" s="78">
        <f>IF(AND($T$1=1, F16&gt;=600), 600, IF(AND($T$1=1, AND(F16&lt;600, F16&gt;=0)), F16, IF(AND($T$1=2, F16&gt;=1000), 1000, IF(AND($T$1=2, AND(F16&lt;1000, F16&gt;=0)), F16))))</f>
        <v>100</v>
      </c>
      <c r="H57" s="66">
        <f>G57*F57</f>
        <v>8.7999999999999989</v>
      </c>
      <c r="I57" s="79"/>
      <c r="J57" s="284">
        <f>+F57</f>
        <v>8.7999999999999995E-2</v>
      </c>
      <c r="K57" s="78">
        <f>G57</f>
        <v>100</v>
      </c>
      <c r="L57" s="66">
        <f>K57*J57</f>
        <v>8.7999999999999989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84">
        <f>+F58</f>
        <v>0.10299999999999999</v>
      </c>
      <c r="K58" s="78">
        <f>G58</f>
        <v>0</v>
      </c>
      <c r="L58" s="66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32.336823999999993</v>
      </c>
      <c r="I60" s="95"/>
      <c r="J60" s="96"/>
      <c r="K60" s="96"/>
      <c r="L60" s="190">
        <f>SUM(L50:L56,L49)</f>
        <v>33.257497819603245</v>
      </c>
      <c r="M60" s="97"/>
      <c r="N60" s="98">
        <f>L60-H60</f>
        <v>0.92067381960325179</v>
      </c>
      <c r="O60" s="99">
        <f>IF((H60)=0,"",(N60/H60))</f>
        <v>2.8471374294620027E-2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4.2037871199999994</v>
      </c>
      <c r="I61" s="104"/>
      <c r="J61" s="105">
        <v>0.13</v>
      </c>
      <c r="K61" s="104"/>
      <c r="L61" s="106">
        <f>L60*J61</f>
        <v>4.3234747165484215</v>
      </c>
      <c r="M61" s="107"/>
      <c r="N61" s="108">
        <f t="shared" si="10"/>
        <v>0.11968759654842209</v>
      </c>
      <c r="O61" s="109">
        <f t="shared" si="11"/>
        <v>2.8471374294619874E-2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36.540611119999994</v>
      </c>
      <c r="I62" s="104"/>
      <c r="J62" s="104"/>
      <c r="K62" s="104"/>
      <c r="L62" s="106">
        <f>L60+L61</f>
        <v>37.580972536151663</v>
      </c>
      <c r="M62" s="107"/>
      <c r="N62" s="108">
        <f t="shared" si="10"/>
        <v>1.0403614161516685</v>
      </c>
      <c r="O62" s="109">
        <f t="shared" si="11"/>
        <v>2.8471374294619864E-2</v>
      </c>
      <c r="S62" s="72"/>
    </row>
    <row r="63" spans="2:19" ht="15.75" customHeight="1" x14ac:dyDescent="0.3">
      <c r="B63" s="363" t="s">
        <v>43</v>
      </c>
      <c r="C63" s="363"/>
      <c r="D63" s="363"/>
      <c r="E63" s="22"/>
      <c r="F63" s="111"/>
      <c r="G63" s="102"/>
      <c r="H63" s="112">
        <f>ROUND(-H62*10%,2)</f>
        <v>-3.65</v>
      </c>
      <c r="I63" s="104"/>
      <c r="J63" s="104"/>
      <c r="K63" s="104"/>
      <c r="L63" s="113">
        <f>ROUND(-L62*10%,2)</f>
        <v>-3.76</v>
      </c>
      <c r="M63" s="107"/>
      <c r="N63" s="114">
        <f t="shared" si="10"/>
        <v>-0.10999999999999988</v>
      </c>
      <c r="O63" s="115">
        <f t="shared" si="11"/>
        <v>3.0136986301369829E-2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32.890611119999996</v>
      </c>
      <c r="I64" s="120"/>
      <c r="J64" s="120"/>
      <c r="K64" s="120"/>
      <c r="L64" s="121">
        <f>L62+L63</f>
        <v>33.820972536151665</v>
      </c>
      <c r="M64" s="122"/>
      <c r="N64" s="123">
        <f t="shared" si="10"/>
        <v>0.93036141615166912</v>
      </c>
      <c r="O64" s="124">
        <f t="shared" si="11"/>
        <v>2.8286534803421106E-2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31.636823999999997</v>
      </c>
      <c r="I66" s="136"/>
      <c r="J66" s="137"/>
      <c r="K66" s="137"/>
      <c r="L66" s="189">
        <f>SUM(L57:L58,L49,L50:L53)</f>
        <v>32.557497819603242</v>
      </c>
      <c r="M66" s="138"/>
      <c r="N66" s="139">
        <f>L66-H66</f>
        <v>0.92067381960324468</v>
      </c>
      <c r="O66" s="99">
        <f>IF((H66)=0,"",(N66/H66))</f>
        <v>2.9101335191018061E-2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4.1127871200000001</v>
      </c>
      <c r="I67" s="143"/>
      <c r="J67" s="144">
        <v>0.13</v>
      </c>
      <c r="K67" s="145"/>
      <c r="L67" s="146">
        <f>L66*J67</f>
        <v>4.2324747165484213</v>
      </c>
      <c r="M67" s="147"/>
      <c r="N67" s="148">
        <f>L67-H67</f>
        <v>0.1196875965484212</v>
      </c>
      <c r="O67" s="109">
        <f>IF((H67)=0,"",(N67/H67))</f>
        <v>2.9101335191017909E-2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35.749611119999997</v>
      </c>
      <c r="I68" s="143"/>
      <c r="J68" s="143"/>
      <c r="K68" s="143"/>
      <c r="L68" s="146">
        <f>L66+L67</f>
        <v>36.789972536151666</v>
      </c>
      <c r="M68" s="147"/>
      <c r="N68" s="148">
        <f>L68-H68</f>
        <v>1.0403614161516685</v>
      </c>
      <c r="O68" s="109">
        <f>IF((H68)=0,"",(N68/H68))</f>
        <v>2.9101335191018117E-2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-3.57</v>
      </c>
      <c r="I69" s="143"/>
      <c r="J69" s="143"/>
      <c r="K69" s="143"/>
      <c r="L69" s="153">
        <f>ROUND(-L68*10%,2)</f>
        <v>-3.68</v>
      </c>
      <c r="M69" s="147"/>
      <c r="N69" s="154">
        <f>L69-H69</f>
        <v>-0.11000000000000032</v>
      </c>
      <c r="O69" s="115">
        <f>IF((H69)=0,"",(N69/H69))</f>
        <v>3.0812324929972081E-2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32.179611119999997</v>
      </c>
      <c r="I70" s="159"/>
      <c r="J70" s="159"/>
      <c r="K70" s="159"/>
      <c r="L70" s="160">
        <f>SUM(L68:L69)</f>
        <v>33.109972536151666</v>
      </c>
      <c r="M70" s="161"/>
      <c r="N70" s="162">
        <f>L70-H70</f>
        <v>0.93036141615166912</v>
      </c>
      <c r="O70" s="163">
        <f>IF((H70)=0,"",(N70/H70))</f>
        <v>2.8911518311463959E-2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v>4.0399999999999998E-2</v>
      </c>
      <c r="J73" s="170"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B69:D69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21:D36 D38:D45 D50:D59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0.5546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67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5000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36.21</v>
      </c>
      <c r="K21" s="30">
        <v>1</v>
      </c>
      <c r="L21" s="27">
        <f>K21*J21</f>
        <v>36.21</v>
      </c>
      <c r="M21" s="28"/>
      <c r="N21" s="31">
        <f>L21-H21</f>
        <v>4.25</v>
      </c>
      <c r="O21" s="32">
        <f>IF((H21)=0,"",(N21/H21))</f>
        <v>0.13297872340425532</v>
      </c>
    </row>
    <row r="22" spans="2:15" ht="36.75" customHeight="1" x14ac:dyDescent="0.25">
      <c r="B22" s="296" t="s">
        <v>90</v>
      </c>
      <c r="C22" s="22"/>
      <c r="D22" s="56" t="s">
        <v>61</v>
      </c>
      <c r="E22" s="24"/>
      <c r="F22" s="173"/>
      <c r="G22" s="26">
        <f>$F$16</f>
        <v>5000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5000</v>
      </c>
      <c r="L22" s="27">
        <f>K22*J22</f>
        <v>2.5</v>
      </c>
      <c r="M22" s="28"/>
      <c r="N22" s="31">
        <f>L22-H22</f>
        <v>2.5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5000</v>
      </c>
      <c r="H25" s="27">
        <f t="shared" si="0"/>
        <v>-0.25</v>
      </c>
      <c r="I25" s="28"/>
      <c r="J25" s="29">
        <f>+'GS&lt;50 (1,000kWh)'!$J$25</f>
        <v>0</v>
      </c>
      <c r="K25" s="26">
        <f>$F$16</f>
        <v>5000</v>
      </c>
      <c r="L25" s="27">
        <f t="shared" si="1"/>
        <v>0</v>
      </c>
      <c r="M25" s="28"/>
      <c r="N25" s="31">
        <f t="shared" si="2"/>
        <v>0.25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5000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5000</v>
      </c>
      <c r="L26" s="27">
        <f t="shared" si="1"/>
        <v>-2.9999999999999996</v>
      </c>
      <c r="M26" s="28"/>
      <c r="N26" s="31">
        <f t="shared" si="2"/>
        <v>-2.9999999999999996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5000</v>
      </c>
      <c r="H27" s="27">
        <f t="shared" si="0"/>
        <v>71.5</v>
      </c>
      <c r="I27" s="28"/>
      <c r="J27" s="29">
        <f>+'GS&lt;50 (1,000kWh)'!$J$27</f>
        <v>1.61E-2</v>
      </c>
      <c r="K27" s="26">
        <f>$F$16</f>
        <v>5000</v>
      </c>
      <c r="L27" s="27">
        <f t="shared" si="1"/>
        <v>80.5</v>
      </c>
      <c r="M27" s="28"/>
      <c r="N27" s="31">
        <f t="shared" si="2"/>
        <v>9</v>
      </c>
      <c r="O27" s="32">
        <f t="shared" si="3"/>
        <v>0.12587412587412589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5000</v>
      </c>
      <c r="H28" s="27">
        <f t="shared" si="0"/>
        <v>0</v>
      </c>
      <c r="I28" s="28"/>
      <c r="J28" s="29"/>
      <c r="K28" s="26">
        <f t="shared" ref="K28:K36" si="4">$F$16</f>
        <v>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5000</v>
      </c>
      <c r="H29" s="27">
        <f t="shared" si="0"/>
        <v>0</v>
      </c>
      <c r="I29" s="28"/>
      <c r="J29" s="29"/>
      <c r="K29" s="26">
        <f t="shared" si="4"/>
        <v>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5000</v>
      </c>
      <c r="H30" s="27">
        <f t="shared" si="0"/>
        <v>0</v>
      </c>
      <c r="I30" s="28"/>
      <c r="J30" s="29"/>
      <c r="K30" s="26">
        <f t="shared" si="4"/>
        <v>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5000</v>
      </c>
      <c r="H31" s="27">
        <f t="shared" si="0"/>
        <v>0</v>
      </c>
      <c r="I31" s="28"/>
      <c r="J31" s="29"/>
      <c r="K31" s="26">
        <f t="shared" si="4"/>
        <v>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5000</v>
      </c>
      <c r="H32" s="27">
        <f t="shared" si="0"/>
        <v>0</v>
      </c>
      <c r="I32" s="28"/>
      <c r="J32" s="29"/>
      <c r="K32" s="26">
        <f t="shared" si="4"/>
        <v>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5000</v>
      </c>
      <c r="H33" s="27">
        <f t="shared" si="0"/>
        <v>0</v>
      </c>
      <c r="I33" s="28"/>
      <c r="J33" s="29"/>
      <c r="K33" s="26">
        <f t="shared" si="4"/>
        <v>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5000</v>
      </c>
      <c r="H34" s="27">
        <f t="shared" si="0"/>
        <v>0</v>
      </c>
      <c r="I34" s="28"/>
      <c r="J34" s="29"/>
      <c r="K34" s="26">
        <f t="shared" si="4"/>
        <v>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5000</v>
      </c>
      <c r="H35" s="27">
        <f t="shared" si="0"/>
        <v>0</v>
      </c>
      <c r="I35" s="28"/>
      <c r="J35" s="29"/>
      <c r="K35" s="26">
        <f t="shared" si="4"/>
        <v>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5000</v>
      </c>
      <c r="H36" s="27">
        <f t="shared" si="0"/>
        <v>0</v>
      </c>
      <c r="I36" s="28"/>
      <c r="J36" s="29"/>
      <c r="K36" s="26">
        <f t="shared" si="4"/>
        <v>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108.72</v>
      </c>
      <c r="I37" s="41"/>
      <c r="J37" s="42"/>
      <c r="K37" s="43"/>
      <c r="L37" s="40">
        <f>SUM(L21:L36)</f>
        <v>117.59415286452028</v>
      </c>
      <c r="M37" s="41"/>
      <c r="N37" s="44">
        <f t="shared" si="2"/>
        <v>8.8741528645202834</v>
      </c>
      <c r="O37" s="45">
        <f t="shared" si="3"/>
        <v>8.1623922594925347E-2</v>
      </c>
    </row>
    <row r="38" spans="2:15" ht="15" hidden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5000</v>
      </c>
      <c r="H39" s="27">
        <f t="shared" ref="H39:H45" si="6">G39*F39</f>
        <v>-7</v>
      </c>
      <c r="I39" s="28"/>
      <c r="J39" s="263">
        <f>+'GS&lt;50 (1,000kWh)'!$J$39</f>
        <v>1.7925717076986089E-3</v>
      </c>
      <c r="K39" s="26">
        <f>$F$16</f>
        <v>5000</v>
      </c>
      <c r="L39" s="27">
        <f t="shared" ref="L39:L45" si="7">K39*J39</f>
        <v>8.9628585384930446</v>
      </c>
      <c r="M39" s="28"/>
      <c r="N39" s="31">
        <f t="shared" si="2"/>
        <v>15.962858538493045</v>
      </c>
      <c r="O39" s="32">
        <f t="shared" si="3"/>
        <v>-2.2804083626418636</v>
      </c>
    </row>
    <row r="40" spans="2:15" x14ac:dyDescent="0.3">
      <c r="B40" s="296"/>
      <c r="C40" s="22"/>
      <c r="D40" s="23" t="s">
        <v>61</v>
      </c>
      <c r="E40" s="24"/>
      <c r="F40" s="25"/>
      <c r="G40" s="26">
        <f>$F$16</f>
        <v>5000</v>
      </c>
      <c r="H40" s="27">
        <f t="shared" si="6"/>
        <v>0</v>
      </c>
      <c r="I40" s="47"/>
      <c r="J40" s="29"/>
      <c r="K40" s="26">
        <f>$F$16</f>
        <v>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5000</v>
      </c>
      <c r="H41" s="27">
        <f t="shared" si="6"/>
        <v>0</v>
      </c>
      <c r="I41" s="47"/>
      <c r="J41" s="29"/>
      <c r="K41" s="26">
        <f>$F$16</f>
        <v>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5000</v>
      </c>
      <c r="H42" s="27">
        <f t="shared" si="6"/>
        <v>0</v>
      </c>
      <c r="I42" s="47"/>
      <c r="J42" s="29"/>
      <c r="K42" s="26">
        <f>$F$16</f>
        <v>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5000</v>
      </c>
      <c r="H43" s="27">
        <f t="shared" si="6"/>
        <v>0.5</v>
      </c>
      <c r="I43" s="28"/>
      <c r="J43" s="29">
        <f>+'GS&lt;50 (1,000kWh)'!$J$43</f>
        <v>2.0000000000000001E-4</v>
      </c>
      <c r="K43" s="26">
        <f>$F$16</f>
        <v>5000</v>
      </c>
      <c r="L43" s="27">
        <f t="shared" si="7"/>
        <v>1</v>
      </c>
      <c r="M43" s="28"/>
      <c r="N43" s="31">
        <f t="shared" si="2"/>
        <v>0.5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202</v>
      </c>
      <c r="H44" s="184">
        <f t="shared" si="6"/>
        <v>19.190000000000001</v>
      </c>
      <c r="I44" s="57"/>
      <c r="J44" s="185">
        <f>0.64*$F$54+0.18*$F$55+0.18*$F$56</f>
        <v>9.5000000000000001E-2</v>
      </c>
      <c r="K44" s="26">
        <f>$F$16*(1+$J$73)-$F$16</f>
        <v>181</v>
      </c>
      <c r="L44" s="184">
        <f t="shared" si="7"/>
        <v>17.195</v>
      </c>
      <c r="M44" s="57"/>
      <c r="N44" s="186">
        <f t="shared" si="2"/>
        <v>-1.995000000000001</v>
      </c>
      <c r="O44" s="187">
        <f t="shared" si="3"/>
        <v>-0.10396039603960401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122.2</v>
      </c>
      <c r="I46" s="41"/>
      <c r="J46" s="53"/>
      <c r="K46" s="55"/>
      <c r="L46" s="54">
        <f>SUM(L38:L45)+L37</f>
        <v>145.54201140301333</v>
      </c>
      <c r="M46" s="41"/>
      <c r="N46" s="44">
        <f t="shared" si="2"/>
        <v>23.342011403013331</v>
      </c>
      <c r="O46" s="45">
        <f t="shared" ref="O46:O64" si="8">IF((H46)=0,"",(N46/H46))</f>
        <v>0.19101482326524821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5202</v>
      </c>
      <c r="H47" s="27">
        <f>G47*F47</f>
        <v>35.893799999999999</v>
      </c>
      <c r="I47" s="28"/>
      <c r="J47" s="263">
        <f>+'GS&lt;50 (1,000kWh)'!$J$47</f>
        <v>6.7000000000000002E-3</v>
      </c>
      <c r="K47" s="70">
        <f>F16*(1+J73)</f>
        <v>5181</v>
      </c>
      <c r="L47" s="27">
        <f>K47*J47</f>
        <v>34.712699999999998</v>
      </c>
      <c r="M47" s="28"/>
      <c r="N47" s="31">
        <f t="shared" si="2"/>
        <v>-1.1811000000000007</v>
      </c>
      <c r="O47" s="32">
        <f t="shared" si="8"/>
        <v>-3.2905404275947396E-2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5202</v>
      </c>
      <c r="H48" s="27">
        <f>G48*F48</f>
        <v>10.924199999999999</v>
      </c>
      <c r="I48" s="28"/>
      <c r="J48" s="263">
        <f>+'GS&lt;50 (1,000kWh)'!$J$48</f>
        <v>2.0999999999999999E-3</v>
      </c>
      <c r="K48" s="70">
        <f>K47</f>
        <v>5181</v>
      </c>
      <c r="L48" s="27">
        <f>K48*J48</f>
        <v>10.880099999999999</v>
      </c>
      <c r="M48" s="28"/>
      <c r="N48" s="31">
        <f t="shared" si="2"/>
        <v>-4.410000000000025E-2</v>
      </c>
      <c r="O48" s="32">
        <f t="shared" si="8"/>
        <v>-4.0369088811995617E-3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169.01799999999997</v>
      </c>
      <c r="I49" s="61"/>
      <c r="J49" s="62"/>
      <c r="K49" s="63"/>
      <c r="L49" s="54">
        <f>SUM(L46:L48)</f>
        <v>191.13481140301334</v>
      </c>
      <c r="M49" s="61"/>
      <c r="N49" s="44">
        <f t="shared" si="2"/>
        <v>22.116811403013372</v>
      </c>
      <c r="O49" s="45">
        <f t="shared" si="8"/>
        <v>0.13085476933233961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5202</v>
      </c>
      <c r="H50" s="66">
        <f t="shared" ref="H50:H56" si="9">G50*F50</f>
        <v>22.8888</v>
      </c>
      <c r="I50" s="28"/>
      <c r="J50" s="263">
        <f>+'GS&lt;50 (1,000kWh)'!$J$50</f>
        <v>4.4000000000000003E-3</v>
      </c>
      <c r="K50" s="70">
        <f>K48</f>
        <v>5181</v>
      </c>
      <c r="L50" s="66">
        <f t="shared" ref="L50:L56" si="10">K50*J50</f>
        <v>22.796400000000002</v>
      </c>
      <c r="M50" s="28"/>
      <c r="N50" s="31">
        <f t="shared" si="2"/>
        <v>-9.2399999999997817E-2</v>
      </c>
      <c r="O50" s="68">
        <f t="shared" si="8"/>
        <v>-4.0369088811994429E-3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5202</v>
      </c>
      <c r="H51" s="66">
        <f t="shared" si="9"/>
        <v>6.7625999999999999</v>
      </c>
      <c r="I51" s="28"/>
      <c r="J51" s="263">
        <f>+'GS&lt;50 (1,000kWh)'!$J$51</f>
        <v>1.2999999999999999E-3</v>
      </c>
      <c r="K51" s="70">
        <f>K48</f>
        <v>5181</v>
      </c>
      <c r="L51" s="66">
        <f t="shared" si="10"/>
        <v>6.7352999999999996</v>
      </c>
      <c r="M51" s="28"/>
      <c r="N51" s="31">
        <f t="shared" si="2"/>
        <v>-2.7300000000000324E-2</v>
      </c>
      <c r="O51" s="68">
        <f t="shared" si="8"/>
        <v>-4.0369088811995869E-3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5000</v>
      </c>
      <c r="H53" s="66">
        <f t="shared" si="9"/>
        <v>35</v>
      </c>
      <c r="I53" s="28"/>
      <c r="J53" s="263">
        <f>+'GS&lt;50 (1,000kWh)'!$J$53</f>
        <v>7.0000000000000001E-3</v>
      </c>
      <c r="K53" s="70">
        <f>F16</f>
        <v>5000</v>
      </c>
      <c r="L53" s="66">
        <f t="shared" si="10"/>
        <v>35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3200</v>
      </c>
      <c r="H54" s="66">
        <f t="shared" si="9"/>
        <v>246.4</v>
      </c>
      <c r="I54" s="28"/>
      <c r="J54" s="263">
        <f>+'GS&lt;50 (1,000kWh)'!$J$54</f>
        <v>7.6999999999999999E-2</v>
      </c>
      <c r="K54" s="69">
        <f>G54</f>
        <v>3200</v>
      </c>
      <c r="L54" s="66">
        <f t="shared" si="10"/>
        <v>246.4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900</v>
      </c>
      <c r="H55" s="66">
        <f t="shared" si="9"/>
        <v>102.60000000000001</v>
      </c>
      <c r="I55" s="28"/>
      <c r="J55" s="263">
        <f>+'GS&lt;50 (1,000kWh)'!$J$55</f>
        <v>0.114</v>
      </c>
      <c r="K55" s="69">
        <f>G55</f>
        <v>900</v>
      </c>
      <c r="L55" s="66">
        <f t="shared" si="10"/>
        <v>102.60000000000001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900</v>
      </c>
      <c r="H56" s="66">
        <f t="shared" si="9"/>
        <v>126.00000000000001</v>
      </c>
      <c r="I56" s="28"/>
      <c r="J56" s="263">
        <f>+'GS&lt;50 (1,000kWh)'!$J$56</f>
        <v>0.14000000000000001</v>
      </c>
      <c r="K56" s="69">
        <f>G56</f>
        <v>900</v>
      </c>
      <c r="L56" s="66">
        <f t="shared" si="10"/>
        <v>126.00000000000001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4400</v>
      </c>
      <c r="H58" s="66">
        <f>G58*F58</f>
        <v>453.2</v>
      </c>
      <c r="I58" s="79"/>
      <c r="J58" s="263">
        <f>+'GS&lt;50 (1,000kWh)'!$J$58</f>
        <v>0.10299999999999999</v>
      </c>
      <c r="K58" s="78">
        <f>G58</f>
        <v>4400</v>
      </c>
      <c r="L58" s="66">
        <f>K58*J58</f>
        <v>453.2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708.9194</v>
      </c>
      <c r="I60" s="95"/>
      <c r="J60" s="96"/>
      <c r="K60" s="96"/>
      <c r="L60" s="190">
        <f>SUM(L50:L56,L49)</f>
        <v>730.91651140301337</v>
      </c>
      <c r="M60" s="97"/>
      <c r="N60" s="98">
        <f>L60-H60</f>
        <v>21.997111403013378</v>
      </c>
      <c r="O60" s="99">
        <f>IF((H60)=0,"",(N60/H60))</f>
        <v>3.1029072420663589E-2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92.15952200000001</v>
      </c>
      <c r="I61" s="104"/>
      <c r="J61" s="105">
        <v>0.13</v>
      </c>
      <c r="K61" s="104"/>
      <c r="L61" s="106">
        <f>L60*J61</f>
        <v>95.019146482391747</v>
      </c>
      <c r="M61" s="107"/>
      <c r="N61" s="108">
        <f t="shared" si="2"/>
        <v>2.8596244823917374</v>
      </c>
      <c r="O61" s="109">
        <f t="shared" si="8"/>
        <v>3.1029072420663564E-2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801.07892200000003</v>
      </c>
      <c r="I62" s="104"/>
      <c r="J62" s="104"/>
      <c r="K62" s="104"/>
      <c r="L62" s="106">
        <f>L60+L61</f>
        <v>825.93565788540513</v>
      </c>
      <c r="M62" s="107"/>
      <c r="N62" s="108">
        <f t="shared" si="2"/>
        <v>24.856735885405101</v>
      </c>
      <c r="O62" s="109">
        <f t="shared" si="8"/>
        <v>3.1029072420663564E-2</v>
      </c>
      <c r="S62" s="72"/>
    </row>
    <row r="63" spans="2:19" ht="15.75" customHeight="1" x14ac:dyDescent="0.3">
      <c r="B63" s="367" t="s">
        <v>43</v>
      </c>
      <c r="C63" s="367"/>
      <c r="D63" s="367"/>
      <c r="E63" s="22"/>
      <c r="F63" s="111"/>
      <c r="G63" s="102"/>
      <c r="H63" s="112">
        <f>ROUND(-H62*10%,2)</f>
        <v>-80.11</v>
      </c>
      <c r="I63" s="104"/>
      <c r="J63" s="104"/>
      <c r="K63" s="104"/>
      <c r="L63" s="113">
        <f>ROUND(-L62*10%,2)</f>
        <v>-82.59</v>
      </c>
      <c r="M63" s="107"/>
      <c r="N63" s="114">
        <f t="shared" si="2"/>
        <v>-2.480000000000004</v>
      </c>
      <c r="O63" s="115">
        <f t="shared" si="8"/>
        <v>3.0957433528897814E-2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720.96892200000002</v>
      </c>
      <c r="I64" s="120"/>
      <c r="J64" s="120"/>
      <c r="K64" s="120"/>
      <c r="L64" s="121">
        <f>L62+L63</f>
        <v>743.3456578854051</v>
      </c>
      <c r="M64" s="122"/>
      <c r="N64" s="123">
        <f t="shared" si="2"/>
        <v>22.376735885405083</v>
      </c>
      <c r="O64" s="124">
        <f t="shared" si="8"/>
        <v>3.1037032530238637E-2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739.9194</v>
      </c>
      <c r="I66" s="136"/>
      <c r="J66" s="137"/>
      <c r="K66" s="137"/>
      <c r="L66" s="189">
        <f>SUM(L57:L58,L49,L50:L53)</f>
        <v>761.91651140301337</v>
      </c>
      <c r="M66" s="138"/>
      <c r="N66" s="139">
        <f>L66-H66</f>
        <v>21.997111403013378</v>
      </c>
      <c r="O66" s="99">
        <f>IF((H66)=0,"",(N66/H66))</f>
        <v>2.972906427782996E-2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96.189521999999997</v>
      </c>
      <c r="I67" s="143"/>
      <c r="J67" s="144">
        <v>0.13</v>
      </c>
      <c r="K67" s="145"/>
      <c r="L67" s="146">
        <f>L66*J67</f>
        <v>99.049146482391748</v>
      </c>
      <c r="M67" s="147"/>
      <c r="N67" s="148">
        <f>L67-H67</f>
        <v>2.8596244823917516</v>
      </c>
      <c r="O67" s="109">
        <f>IF((H67)=0,"",(N67/H67))</f>
        <v>2.9729064277830092E-2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836.10892200000001</v>
      </c>
      <c r="I68" s="143"/>
      <c r="J68" s="143"/>
      <c r="K68" s="143"/>
      <c r="L68" s="146">
        <f>L66+L67</f>
        <v>860.96565788540511</v>
      </c>
      <c r="M68" s="147"/>
      <c r="N68" s="148">
        <f>L68-H68</f>
        <v>24.856735885405101</v>
      </c>
      <c r="O68" s="109">
        <f>IF((H68)=0,"",(N68/H68))</f>
        <v>2.9729064277829943E-2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-83.61</v>
      </c>
      <c r="I69" s="143"/>
      <c r="J69" s="143"/>
      <c r="K69" s="143"/>
      <c r="L69" s="153">
        <f>ROUND(-L68*10%,2)</f>
        <v>-86.1</v>
      </c>
      <c r="M69" s="147"/>
      <c r="N69" s="154">
        <f>L69-H69</f>
        <v>-2.4899999999999949</v>
      </c>
      <c r="O69" s="115">
        <f>IF((H69)=0,"",(N69/H69))</f>
        <v>2.9781126659490429E-2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752.49892199999999</v>
      </c>
      <c r="I70" s="159"/>
      <c r="J70" s="159"/>
      <c r="K70" s="159"/>
      <c r="L70" s="160">
        <f>SUM(L68:L69)</f>
        <v>774.86565788540508</v>
      </c>
      <c r="M70" s="161"/>
      <c r="N70" s="162">
        <f>L70-H70</f>
        <v>22.366735885405092</v>
      </c>
      <c r="O70" s="163">
        <f>IF((H70)=0,"",(N70/H70))</f>
        <v>2.9723279637342913E-2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0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0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441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67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10000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36.21</v>
      </c>
      <c r="K21" s="30">
        <v>1</v>
      </c>
      <c r="L21" s="27">
        <f>K21*J21</f>
        <v>36.21</v>
      </c>
      <c r="M21" s="28"/>
      <c r="N21" s="31">
        <f>L21-H21</f>
        <v>4.25</v>
      </c>
      <c r="O21" s="32">
        <f>IF((H21)=0,"",(N21/H21))</f>
        <v>0.13297872340425532</v>
      </c>
    </row>
    <row r="22" spans="2:15" ht="36.75" customHeight="1" x14ac:dyDescent="0.25">
      <c r="B22" s="296" t="s">
        <v>90</v>
      </c>
      <c r="C22" s="22"/>
      <c r="D22" s="56" t="s">
        <v>61</v>
      </c>
      <c r="E22" s="24"/>
      <c r="F22" s="173"/>
      <c r="G22" s="26">
        <f>$F$16</f>
        <v>10000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10000</v>
      </c>
      <c r="L22" s="27">
        <f>K22*J22</f>
        <v>5</v>
      </c>
      <c r="M22" s="28"/>
      <c r="N22" s="31">
        <f>L22-H22</f>
        <v>5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10000</v>
      </c>
      <c r="H25" s="27">
        <f t="shared" si="0"/>
        <v>-0.5</v>
      </c>
      <c r="I25" s="28"/>
      <c r="J25" s="29">
        <f>+'GS&lt;50 (1,000kWh)'!$J$25</f>
        <v>0</v>
      </c>
      <c r="K25" s="26">
        <f>$F$16</f>
        <v>10000</v>
      </c>
      <c r="L25" s="27">
        <f t="shared" si="1"/>
        <v>0</v>
      </c>
      <c r="M25" s="28"/>
      <c r="N25" s="31">
        <f t="shared" si="2"/>
        <v>0.5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10000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10000</v>
      </c>
      <c r="L26" s="27">
        <f t="shared" si="1"/>
        <v>-5.9999999999999991</v>
      </c>
      <c r="M26" s="28"/>
      <c r="N26" s="31">
        <f t="shared" si="2"/>
        <v>-5.9999999999999991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10000</v>
      </c>
      <c r="H27" s="27">
        <f t="shared" si="0"/>
        <v>143</v>
      </c>
      <c r="I27" s="28"/>
      <c r="J27" s="29">
        <f>+'GS&lt;50 (1,000kWh)'!$J$27</f>
        <v>1.61E-2</v>
      </c>
      <c r="K27" s="26">
        <f>$F$16</f>
        <v>10000</v>
      </c>
      <c r="L27" s="27">
        <f t="shared" si="1"/>
        <v>161</v>
      </c>
      <c r="M27" s="28"/>
      <c r="N27" s="31">
        <f t="shared" si="2"/>
        <v>18</v>
      </c>
      <c r="O27" s="32">
        <f t="shared" si="3"/>
        <v>0.12587412587412589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10000</v>
      </c>
      <c r="H28" s="27">
        <f t="shared" si="0"/>
        <v>0</v>
      </c>
      <c r="I28" s="28"/>
      <c r="J28" s="29"/>
      <c r="K28" s="26">
        <f t="shared" ref="K28:K36" si="4">$F$16</f>
        <v>10000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10000</v>
      </c>
      <c r="H29" s="27">
        <f t="shared" si="0"/>
        <v>0</v>
      </c>
      <c r="I29" s="28"/>
      <c r="J29" s="29"/>
      <c r="K29" s="26">
        <f t="shared" si="4"/>
        <v>10000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10000</v>
      </c>
      <c r="H30" s="27">
        <f t="shared" si="0"/>
        <v>0</v>
      </c>
      <c r="I30" s="28"/>
      <c r="J30" s="29"/>
      <c r="K30" s="26">
        <f t="shared" si="4"/>
        <v>10000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10000</v>
      </c>
      <c r="H31" s="27">
        <f t="shared" si="0"/>
        <v>0</v>
      </c>
      <c r="I31" s="28"/>
      <c r="J31" s="29"/>
      <c r="K31" s="26">
        <f t="shared" si="4"/>
        <v>10000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10000</v>
      </c>
      <c r="H32" s="27">
        <f t="shared" si="0"/>
        <v>0</v>
      </c>
      <c r="I32" s="28"/>
      <c r="J32" s="29"/>
      <c r="K32" s="26">
        <f t="shared" si="4"/>
        <v>10000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10000</v>
      </c>
      <c r="H33" s="27">
        <f t="shared" si="0"/>
        <v>0</v>
      </c>
      <c r="I33" s="28"/>
      <c r="J33" s="29"/>
      <c r="K33" s="26">
        <f t="shared" si="4"/>
        <v>10000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10000</v>
      </c>
      <c r="H34" s="27">
        <f t="shared" si="0"/>
        <v>0</v>
      </c>
      <c r="I34" s="28"/>
      <c r="J34" s="29"/>
      <c r="K34" s="26">
        <f t="shared" si="4"/>
        <v>10000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10000</v>
      </c>
      <c r="H35" s="27">
        <f t="shared" si="0"/>
        <v>0</v>
      </c>
      <c r="I35" s="28"/>
      <c r="J35" s="29"/>
      <c r="K35" s="26">
        <f t="shared" si="4"/>
        <v>10000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10000</v>
      </c>
      <c r="H36" s="27">
        <f t="shared" si="0"/>
        <v>0</v>
      </c>
      <c r="I36" s="28"/>
      <c r="J36" s="29"/>
      <c r="K36" s="26">
        <f t="shared" si="4"/>
        <v>10000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179.97</v>
      </c>
      <c r="I37" s="41"/>
      <c r="J37" s="42"/>
      <c r="K37" s="43"/>
      <c r="L37" s="40">
        <f>SUM(L21:L36)</f>
        <v>197.59415286452028</v>
      </c>
      <c r="M37" s="41"/>
      <c r="N37" s="44">
        <f t="shared" si="2"/>
        <v>17.624152864520283</v>
      </c>
      <c r="O37" s="45">
        <f t="shared" si="3"/>
        <v>9.7928281738735815E-2</v>
      </c>
    </row>
    <row r="38" spans="2:15" ht="15" hidden="1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10000</v>
      </c>
      <c r="H39" s="27">
        <f t="shared" ref="H39:H45" si="6">G39*F39</f>
        <v>-14</v>
      </c>
      <c r="I39" s="28"/>
      <c r="J39" s="263">
        <f>+'GS&lt;50 (1,000kWh)'!$J$39</f>
        <v>1.7925717076986089E-3</v>
      </c>
      <c r="K39" s="26">
        <f>$F$16</f>
        <v>10000</v>
      </c>
      <c r="L39" s="27">
        <f t="shared" ref="L39:L45" si="7">K39*J39</f>
        <v>17.925717076986089</v>
      </c>
      <c r="M39" s="28"/>
      <c r="N39" s="31">
        <f t="shared" si="2"/>
        <v>31.925717076986089</v>
      </c>
      <c r="O39" s="32">
        <f t="shared" si="3"/>
        <v>-2.2804083626418636</v>
      </c>
    </row>
    <row r="40" spans="2:15" x14ac:dyDescent="0.3">
      <c r="B40" s="296"/>
      <c r="C40" s="22"/>
      <c r="D40" s="23" t="s">
        <v>61</v>
      </c>
      <c r="E40" s="24"/>
      <c r="F40" s="25"/>
      <c r="G40" s="26">
        <f>$F$16</f>
        <v>10000</v>
      </c>
      <c r="H40" s="27">
        <f t="shared" si="6"/>
        <v>0</v>
      </c>
      <c r="I40" s="47"/>
      <c r="J40" s="29"/>
      <c r="K40" s="26">
        <f>$F$16</f>
        <v>10000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10000</v>
      </c>
      <c r="H41" s="27">
        <f t="shared" si="6"/>
        <v>0</v>
      </c>
      <c r="I41" s="47"/>
      <c r="J41" s="29"/>
      <c r="K41" s="26">
        <f>$F$16</f>
        <v>10000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10000</v>
      </c>
      <c r="H42" s="27">
        <f t="shared" si="6"/>
        <v>0</v>
      </c>
      <c r="I42" s="47"/>
      <c r="J42" s="29"/>
      <c r="K42" s="26">
        <f>$F$16</f>
        <v>10000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10000</v>
      </c>
      <c r="H43" s="27">
        <f t="shared" si="6"/>
        <v>1</v>
      </c>
      <c r="I43" s="28"/>
      <c r="J43" s="29">
        <f>+'GS&lt;50 (1,000kWh)'!$J$43</f>
        <v>2.0000000000000001E-4</v>
      </c>
      <c r="K43" s="26">
        <f>$F$16</f>
        <v>10000</v>
      </c>
      <c r="L43" s="27">
        <f t="shared" si="7"/>
        <v>2</v>
      </c>
      <c r="M43" s="28"/>
      <c r="N43" s="31">
        <f t="shared" si="2"/>
        <v>1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404</v>
      </c>
      <c r="H44" s="184">
        <f t="shared" si="6"/>
        <v>38.380000000000003</v>
      </c>
      <c r="I44" s="57"/>
      <c r="J44" s="185">
        <f>0.64*$F$54+0.18*$F$55+0.18*$F$56</f>
        <v>9.5000000000000001E-2</v>
      </c>
      <c r="K44" s="26">
        <f>$F$16*(1+$J$73)-$F$16</f>
        <v>362</v>
      </c>
      <c r="L44" s="184">
        <f t="shared" si="7"/>
        <v>34.39</v>
      </c>
      <c r="M44" s="57"/>
      <c r="N44" s="186">
        <f t="shared" si="2"/>
        <v>-3.990000000000002</v>
      </c>
      <c r="O44" s="187">
        <f t="shared" si="3"/>
        <v>-0.10396039603960401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206.14</v>
      </c>
      <c r="I46" s="41"/>
      <c r="J46" s="53"/>
      <c r="K46" s="55"/>
      <c r="L46" s="54">
        <f>SUM(L38:L45)+L37</f>
        <v>252.69986994150636</v>
      </c>
      <c r="M46" s="41"/>
      <c r="N46" s="44">
        <f t="shared" si="2"/>
        <v>46.559869941506378</v>
      </c>
      <c r="O46" s="45">
        <f t="shared" ref="O46:O64" si="8">IF((H46)=0,"",(N46/H46))</f>
        <v>0.22586528544438916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10404</v>
      </c>
      <c r="H47" s="27">
        <f>G47*F47</f>
        <v>71.787599999999998</v>
      </c>
      <c r="I47" s="28"/>
      <c r="J47" s="263">
        <f>+'GS&lt;50 (1,000kWh)'!$J$47</f>
        <v>6.7000000000000002E-3</v>
      </c>
      <c r="K47" s="70">
        <f>F16*(1+J73)</f>
        <v>10362</v>
      </c>
      <c r="L47" s="27">
        <f>K47*J47</f>
        <v>69.425399999999996</v>
      </c>
      <c r="M47" s="28"/>
      <c r="N47" s="31">
        <f t="shared" si="2"/>
        <v>-2.3622000000000014</v>
      </c>
      <c r="O47" s="32">
        <f t="shared" si="8"/>
        <v>-3.2905404275947396E-2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10404</v>
      </c>
      <c r="H48" s="27">
        <f>G48*F48</f>
        <v>21.848399999999998</v>
      </c>
      <c r="I48" s="28"/>
      <c r="J48" s="263">
        <f>+'GS&lt;50 (1,000kWh)'!$J$48</f>
        <v>2.0999999999999999E-3</v>
      </c>
      <c r="K48" s="70">
        <f>K47</f>
        <v>10362</v>
      </c>
      <c r="L48" s="27">
        <f>K48*J48</f>
        <v>21.760199999999998</v>
      </c>
      <c r="M48" s="28"/>
      <c r="N48" s="31">
        <f t="shared" si="2"/>
        <v>-8.82000000000005E-2</v>
      </c>
      <c r="O48" s="32">
        <f t="shared" si="8"/>
        <v>-4.0369088811995617E-3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299.77599999999995</v>
      </c>
      <c r="I49" s="61"/>
      <c r="J49" s="62"/>
      <c r="K49" s="63"/>
      <c r="L49" s="54">
        <f>SUM(L46:L48)</f>
        <v>343.88546994150636</v>
      </c>
      <c r="M49" s="61"/>
      <c r="N49" s="44">
        <f t="shared" si="2"/>
        <v>44.109469941506404</v>
      </c>
      <c r="O49" s="45">
        <f t="shared" si="8"/>
        <v>0.14714143207430352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10404</v>
      </c>
      <c r="H50" s="66">
        <f t="shared" ref="H50:H56" si="9">G50*F50</f>
        <v>45.7776</v>
      </c>
      <c r="I50" s="28"/>
      <c r="J50" s="263">
        <f>+'GS&lt;50 (1,000kWh)'!$J$50</f>
        <v>4.4000000000000003E-3</v>
      </c>
      <c r="K50" s="70">
        <f>K48</f>
        <v>10362</v>
      </c>
      <c r="L50" s="66">
        <f t="shared" ref="L50:L56" si="10">K50*J50</f>
        <v>45.592800000000004</v>
      </c>
      <c r="M50" s="28"/>
      <c r="N50" s="31">
        <f t="shared" si="2"/>
        <v>-0.18479999999999563</v>
      </c>
      <c r="O50" s="68">
        <f t="shared" si="8"/>
        <v>-4.0369088811994429E-3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10404</v>
      </c>
      <c r="H51" s="66">
        <f t="shared" si="9"/>
        <v>13.5252</v>
      </c>
      <c r="I51" s="28"/>
      <c r="J51" s="263">
        <f>+'GS&lt;50 (1,000kWh)'!$J$51</f>
        <v>1.2999999999999999E-3</v>
      </c>
      <c r="K51" s="70">
        <f>K48</f>
        <v>10362</v>
      </c>
      <c r="L51" s="66">
        <f t="shared" si="10"/>
        <v>13.470599999999999</v>
      </c>
      <c r="M51" s="28"/>
      <c r="N51" s="31">
        <f t="shared" si="2"/>
        <v>-5.4600000000000648E-2</v>
      </c>
      <c r="O51" s="68">
        <f t="shared" si="8"/>
        <v>-4.0369088811995869E-3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10000</v>
      </c>
      <c r="H53" s="66">
        <f t="shared" si="9"/>
        <v>70</v>
      </c>
      <c r="I53" s="28"/>
      <c r="J53" s="263">
        <f>+'GS&lt;50 (1,000kWh)'!$J$53</f>
        <v>7.0000000000000001E-3</v>
      </c>
      <c r="K53" s="70">
        <f>F16</f>
        <v>10000</v>
      </c>
      <c r="L53" s="66">
        <f t="shared" si="10"/>
        <v>70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6400</v>
      </c>
      <c r="H54" s="66">
        <f t="shared" si="9"/>
        <v>492.8</v>
      </c>
      <c r="I54" s="28"/>
      <c r="J54" s="263">
        <f>+'GS&lt;50 (1,000kWh)'!$J$54</f>
        <v>7.6999999999999999E-2</v>
      </c>
      <c r="K54" s="69">
        <f>G54</f>
        <v>6400</v>
      </c>
      <c r="L54" s="66">
        <f t="shared" si="10"/>
        <v>492.8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1800</v>
      </c>
      <c r="H55" s="66">
        <f t="shared" si="9"/>
        <v>205.20000000000002</v>
      </c>
      <c r="I55" s="28"/>
      <c r="J55" s="263">
        <f>+'GS&lt;50 (1,000kWh)'!$J$55</f>
        <v>0.114</v>
      </c>
      <c r="K55" s="69">
        <f>G55</f>
        <v>1800</v>
      </c>
      <c r="L55" s="66">
        <f t="shared" si="10"/>
        <v>205.20000000000002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1800</v>
      </c>
      <c r="H56" s="66">
        <f t="shared" si="9"/>
        <v>252.00000000000003</v>
      </c>
      <c r="I56" s="28"/>
      <c r="J56" s="263">
        <f>+'GS&lt;50 (1,000kWh)'!$J$56</f>
        <v>0.14000000000000001</v>
      </c>
      <c r="K56" s="69">
        <f>G56</f>
        <v>1800</v>
      </c>
      <c r="L56" s="66">
        <f t="shared" si="10"/>
        <v>252.00000000000003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9400</v>
      </c>
      <c r="H58" s="66">
        <f>G58*F58</f>
        <v>968.19999999999993</v>
      </c>
      <c r="I58" s="79"/>
      <c r="J58" s="263">
        <f>+'GS&lt;50 (1,000kWh)'!$J$58</f>
        <v>0.10299999999999999</v>
      </c>
      <c r="K58" s="78">
        <f>G58</f>
        <v>9400</v>
      </c>
      <c r="L58" s="66">
        <f>K58*J58</f>
        <v>968.19999999999993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1379.3288000000002</v>
      </c>
      <c r="I60" s="95"/>
      <c r="J60" s="96"/>
      <c r="K60" s="96"/>
      <c r="L60" s="190">
        <f>SUM(L50:L56,L49)</f>
        <v>1423.1988699415065</v>
      </c>
      <c r="M60" s="97"/>
      <c r="N60" s="98">
        <f>L60-H60</f>
        <v>43.870069941506245</v>
      </c>
      <c r="O60" s="99">
        <f>IF((H60)=0,"",(N60/H60))</f>
        <v>3.1805375151672491E-2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179.31274400000004</v>
      </c>
      <c r="I61" s="104"/>
      <c r="J61" s="105">
        <v>0.13</v>
      </c>
      <c r="K61" s="104"/>
      <c r="L61" s="106">
        <f>L60*J61</f>
        <v>185.01585309239584</v>
      </c>
      <c r="M61" s="107"/>
      <c r="N61" s="108">
        <f t="shared" si="2"/>
        <v>5.7031090923958061</v>
      </c>
      <c r="O61" s="109">
        <f t="shared" si="8"/>
        <v>3.1805375151672456E-2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1558.6415440000003</v>
      </c>
      <c r="I62" s="104"/>
      <c r="J62" s="104"/>
      <c r="K62" s="104"/>
      <c r="L62" s="106">
        <f>L60+L61</f>
        <v>1608.2147230339024</v>
      </c>
      <c r="M62" s="107"/>
      <c r="N62" s="108">
        <f t="shared" si="2"/>
        <v>49.573179033902079</v>
      </c>
      <c r="O62" s="109">
        <f t="shared" si="8"/>
        <v>3.1805375151672505E-2</v>
      </c>
      <c r="S62" s="72"/>
    </row>
    <row r="63" spans="2:19" ht="15.75" customHeight="1" x14ac:dyDescent="0.3">
      <c r="B63" s="367" t="s">
        <v>43</v>
      </c>
      <c r="C63" s="367"/>
      <c r="D63" s="367"/>
      <c r="E63" s="22"/>
      <c r="F63" s="111"/>
      <c r="G63" s="102"/>
      <c r="H63" s="112">
        <f>ROUND(-H62*10%,2)</f>
        <v>-155.86000000000001</v>
      </c>
      <c r="I63" s="104"/>
      <c r="J63" s="104"/>
      <c r="K63" s="104"/>
      <c r="L63" s="113">
        <f>ROUND(-L62*10%,2)</f>
        <v>-160.82</v>
      </c>
      <c r="M63" s="107"/>
      <c r="N63" s="114">
        <f t="shared" si="2"/>
        <v>-4.9599999999999795</v>
      </c>
      <c r="O63" s="115">
        <f t="shared" si="8"/>
        <v>3.1823431284485941E-2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1402.7815440000004</v>
      </c>
      <c r="I64" s="120"/>
      <c r="J64" s="120"/>
      <c r="K64" s="120"/>
      <c r="L64" s="121">
        <f>L62+L63</f>
        <v>1447.3947230339024</v>
      </c>
      <c r="M64" s="122"/>
      <c r="N64" s="123">
        <f t="shared" si="2"/>
        <v>44.613179033902043</v>
      </c>
      <c r="O64" s="124">
        <f t="shared" si="8"/>
        <v>3.1803368974108792E-2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1450.3287999999998</v>
      </c>
      <c r="I66" s="136"/>
      <c r="J66" s="137"/>
      <c r="K66" s="137"/>
      <c r="L66" s="189">
        <f>SUM(L57:L58,L49,L50:L53)</f>
        <v>1494.1988699415062</v>
      </c>
      <c r="M66" s="138"/>
      <c r="N66" s="139">
        <f>L66-H66</f>
        <v>43.870069941506472</v>
      </c>
      <c r="O66" s="99">
        <f>IF((H66)=0,"",(N66/H66))</f>
        <v>3.0248361572566496E-2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188.54274399999997</v>
      </c>
      <c r="I67" s="143"/>
      <c r="J67" s="144">
        <v>0.13</v>
      </c>
      <c r="K67" s="145"/>
      <c r="L67" s="146">
        <f>L66*J67</f>
        <v>194.24585309239581</v>
      </c>
      <c r="M67" s="147"/>
      <c r="N67" s="148">
        <f>L67-H67</f>
        <v>5.7031090923958345</v>
      </c>
      <c r="O67" s="109">
        <f>IF((H67)=0,"",(N67/H67))</f>
        <v>3.0248361572566461E-2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1638.8715439999996</v>
      </c>
      <c r="I68" s="143"/>
      <c r="J68" s="143"/>
      <c r="K68" s="143"/>
      <c r="L68" s="146">
        <f>L66+L67</f>
        <v>1688.4447230339019</v>
      </c>
      <c r="M68" s="147"/>
      <c r="N68" s="148">
        <f>L68-H68</f>
        <v>49.573179033902306</v>
      </c>
      <c r="O68" s="109">
        <f>IF((H68)=0,"",(N68/H68))</f>
        <v>3.0248361572566492E-2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-163.89</v>
      </c>
      <c r="I69" s="143"/>
      <c r="J69" s="143"/>
      <c r="K69" s="143"/>
      <c r="L69" s="153">
        <f>ROUND(-L68*10%,2)</f>
        <v>-168.84</v>
      </c>
      <c r="M69" s="147"/>
      <c r="N69" s="154">
        <f>L69-H69</f>
        <v>-4.9500000000000171</v>
      </c>
      <c r="O69" s="115">
        <f>IF((H69)=0,"",(N69/H69))</f>
        <v>3.020318506315222E-2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1474.9815439999998</v>
      </c>
      <c r="I70" s="159"/>
      <c r="J70" s="159"/>
      <c r="K70" s="159"/>
      <c r="L70" s="160">
        <f>SUM(L68:L69)</f>
        <v>1519.604723033902</v>
      </c>
      <c r="M70" s="161"/>
      <c r="N70" s="162">
        <f>L70-H70</f>
        <v>44.623179033902261</v>
      </c>
      <c r="O70" s="163">
        <f>IF((H70)=0,"",(N70/H70))</f>
        <v>3.0253381281564205E-2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0.554687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0.554687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5"/>
    </row>
    <row r="6" spans="1:20" s="2" customFormat="1" ht="15" customHeight="1" x14ac:dyDescent="0.3">
      <c r="N6" s="7"/>
      <c r="O6"/>
      <c r="P6" s="194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67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15000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36.21</v>
      </c>
      <c r="K21" s="30">
        <v>1</v>
      </c>
      <c r="L21" s="27">
        <f>K21*J21</f>
        <v>36.21</v>
      </c>
      <c r="M21" s="28"/>
      <c r="N21" s="31">
        <f>L21-H21</f>
        <v>4.25</v>
      </c>
      <c r="O21" s="32">
        <f>IF((H21)=0,"",(N21/H21))</f>
        <v>0.13297872340425532</v>
      </c>
    </row>
    <row r="22" spans="2:15" ht="36.75" customHeight="1" x14ac:dyDescent="0.25">
      <c r="B22" s="296" t="s">
        <v>90</v>
      </c>
      <c r="C22" s="22"/>
      <c r="D22" s="56" t="s">
        <v>61</v>
      </c>
      <c r="E22" s="24"/>
      <c r="F22" s="173"/>
      <c r="G22" s="26">
        <f>$F$16</f>
        <v>15000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15000</v>
      </c>
      <c r="L22" s="27">
        <f>K22*J22</f>
        <v>7.5</v>
      </c>
      <c r="M22" s="28"/>
      <c r="N22" s="31">
        <f>L22-H22</f>
        <v>7.5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15000</v>
      </c>
      <c r="H25" s="27">
        <f t="shared" si="0"/>
        <v>-0.75</v>
      </c>
      <c r="I25" s="28"/>
      <c r="J25" s="29">
        <f>+'GS&lt;50 (1,000kWh)'!$J$25</f>
        <v>0</v>
      </c>
      <c r="K25" s="26">
        <f>$F$16</f>
        <v>15000</v>
      </c>
      <c r="L25" s="27">
        <f t="shared" si="1"/>
        <v>0</v>
      </c>
      <c r="M25" s="28"/>
      <c r="N25" s="31">
        <f t="shared" si="2"/>
        <v>0.75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15000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15000</v>
      </c>
      <c r="L26" s="27">
        <f t="shared" si="1"/>
        <v>-9</v>
      </c>
      <c r="M26" s="28"/>
      <c r="N26" s="31">
        <f t="shared" si="2"/>
        <v>-9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15000</v>
      </c>
      <c r="H27" s="27">
        <f t="shared" si="0"/>
        <v>214.5</v>
      </c>
      <c r="I27" s="28"/>
      <c r="J27" s="29">
        <f>+'GS&lt;50 (1,000kWh)'!$J$27</f>
        <v>1.61E-2</v>
      </c>
      <c r="K27" s="26">
        <f>$F$16</f>
        <v>15000</v>
      </c>
      <c r="L27" s="27">
        <f t="shared" si="1"/>
        <v>241.5</v>
      </c>
      <c r="M27" s="28"/>
      <c r="N27" s="31">
        <f t="shared" si="2"/>
        <v>27</v>
      </c>
      <c r="O27" s="32">
        <f t="shared" si="3"/>
        <v>0.12587412587412589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15000</v>
      </c>
      <c r="H28" s="27">
        <f t="shared" si="0"/>
        <v>0</v>
      </c>
      <c r="I28" s="28"/>
      <c r="J28" s="29"/>
      <c r="K28" s="26">
        <f t="shared" ref="K28:K36" si="4">$F$16</f>
        <v>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15000</v>
      </c>
      <c r="H29" s="27">
        <f t="shared" si="0"/>
        <v>0</v>
      </c>
      <c r="I29" s="28"/>
      <c r="J29" s="29"/>
      <c r="K29" s="26">
        <f t="shared" si="4"/>
        <v>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15000</v>
      </c>
      <c r="H30" s="27">
        <f t="shared" si="0"/>
        <v>0</v>
      </c>
      <c r="I30" s="28"/>
      <c r="J30" s="29"/>
      <c r="K30" s="26">
        <f t="shared" si="4"/>
        <v>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15000</v>
      </c>
      <c r="H31" s="27">
        <f t="shared" si="0"/>
        <v>0</v>
      </c>
      <c r="I31" s="28"/>
      <c r="J31" s="29"/>
      <c r="K31" s="26">
        <f t="shared" si="4"/>
        <v>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15000</v>
      </c>
      <c r="H32" s="27">
        <f t="shared" si="0"/>
        <v>0</v>
      </c>
      <c r="I32" s="28"/>
      <c r="J32" s="29"/>
      <c r="K32" s="26">
        <f t="shared" si="4"/>
        <v>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15000</v>
      </c>
      <c r="H33" s="27">
        <f t="shared" si="0"/>
        <v>0</v>
      </c>
      <c r="I33" s="28"/>
      <c r="J33" s="29"/>
      <c r="K33" s="26">
        <f t="shared" si="4"/>
        <v>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15000</v>
      </c>
      <c r="H34" s="27">
        <f t="shared" si="0"/>
        <v>0</v>
      </c>
      <c r="I34" s="28"/>
      <c r="J34" s="29"/>
      <c r="K34" s="26">
        <f t="shared" si="4"/>
        <v>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15000</v>
      </c>
      <c r="H35" s="27">
        <f t="shared" si="0"/>
        <v>0</v>
      </c>
      <c r="I35" s="28"/>
      <c r="J35" s="29"/>
      <c r="K35" s="26">
        <f t="shared" si="4"/>
        <v>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15000</v>
      </c>
      <c r="H36" s="27">
        <f t="shared" si="0"/>
        <v>0</v>
      </c>
      <c r="I36" s="28"/>
      <c r="J36" s="29"/>
      <c r="K36" s="26">
        <f t="shared" si="4"/>
        <v>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251.22</v>
      </c>
      <c r="I37" s="41"/>
      <c r="J37" s="42"/>
      <c r="K37" s="43"/>
      <c r="L37" s="40">
        <f>SUM(L21:L36)</f>
        <v>277.59415286452031</v>
      </c>
      <c r="M37" s="41"/>
      <c r="N37" s="44">
        <f t="shared" si="2"/>
        <v>26.374152864520312</v>
      </c>
      <c r="O37" s="45">
        <f t="shared" si="3"/>
        <v>0.1049842881319971</v>
      </c>
    </row>
    <row r="38" spans="2:15" ht="15" hidden="1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15000</v>
      </c>
      <c r="H39" s="27">
        <f t="shared" ref="H39:H45" si="6">G39*F39</f>
        <v>-21</v>
      </c>
      <c r="I39" s="28"/>
      <c r="J39" s="263">
        <f>+'GS&lt;50 (1,000kWh)'!$J$39</f>
        <v>1.7925717076986089E-3</v>
      </c>
      <c r="K39" s="26">
        <f>$F$16</f>
        <v>15000</v>
      </c>
      <c r="L39" s="27">
        <f t="shared" ref="L39:L45" si="7">K39*J39</f>
        <v>26.888575615479134</v>
      </c>
      <c r="M39" s="28"/>
      <c r="N39" s="31">
        <f t="shared" si="2"/>
        <v>47.888575615479134</v>
      </c>
      <c r="O39" s="32">
        <f t="shared" si="3"/>
        <v>-2.2804083626418636</v>
      </c>
    </row>
    <row r="40" spans="2:15" x14ac:dyDescent="0.3">
      <c r="B40" s="296"/>
      <c r="C40" s="22"/>
      <c r="D40" s="23" t="s">
        <v>61</v>
      </c>
      <c r="E40" s="24"/>
      <c r="F40" s="25"/>
      <c r="G40" s="26">
        <f>$F$16</f>
        <v>15000</v>
      </c>
      <c r="H40" s="27">
        <f t="shared" si="6"/>
        <v>0</v>
      </c>
      <c r="I40" s="47"/>
      <c r="J40" s="29"/>
      <c r="K40" s="26">
        <f>$F$16</f>
        <v>15000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15000</v>
      </c>
      <c r="H41" s="27">
        <f t="shared" si="6"/>
        <v>0</v>
      </c>
      <c r="I41" s="47"/>
      <c r="J41" s="29"/>
      <c r="K41" s="26">
        <f>$F$16</f>
        <v>15000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15000</v>
      </c>
      <c r="H42" s="27">
        <f t="shared" si="6"/>
        <v>0</v>
      </c>
      <c r="I42" s="47"/>
      <c r="J42" s="29"/>
      <c r="K42" s="26">
        <f>$F$16</f>
        <v>15000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15000</v>
      </c>
      <c r="H43" s="27">
        <f t="shared" si="6"/>
        <v>1.5</v>
      </c>
      <c r="I43" s="28"/>
      <c r="J43" s="29">
        <f>+'GS&lt;50 (1,000kWh)'!$J$43</f>
        <v>2.0000000000000001E-4</v>
      </c>
      <c r="K43" s="26">
        <f>$F$16</f>
        <v>15000</v>
      </c>
      <c r="L43" s="27">
        <f t="shared" si="7"/>
        <v>3</v>
      </c>
      <c r="M43" s="28"/>
      <c r="N43" s="31">
        <f t="shared" si="2"/>
        <v>1.5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606</v>
      </c>
      <c r="H44" s="184">
        <f t="shared" si="6"/>
        <v>57.57</v>
      </c>
      <c r="I44" s="57"/>
      <c r="J44" s="185">
        <f>0.64*$F$54+0.18*$F$55+0.18*$F$56</f>
        <v>9.5000000000000001E-2</v>
      </c>
      <c r="K44" s="26">
        <f>$F$16*(1+$J$73)-$F$16</f>
        <v>543</v>
      </c>
      <c r="L44" s="184">
        <f t="shared" si="7"/>
        <v>51.585000000000001</v>
      </c>
      <c r="M44" s="57"/>
      <c r="N44" s="186">
        <f t="shared" si="2"/>
        <v>-5.9849999999999994</v>
      </c>
      <c r="O44" s="187">
        <f t="shared" si="3"/>
        <v>-0.10396039603960396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290.08</v>
      </c>
      <c r="I46" s="41"/>
      <c r="J46" s="53"/>
      <c r="K46" s="55"/>
      <c r="L46" s="54">
        <f>SUM(L38:L45)+L37</f>
        <v>359.85772847999942</v>
      </c>
      <c r="M46" s="41"/>
      <c r="N46" s="44">
        <f t="shared" si="2"/>
        <v>69.777728479999439</v>
      </c>
      <c r="O46" s="45">
        <f t="shared" ref="O46:O64" si="8">IF((H46)=0,"",(N46/H46))</f>
        <v>0.24054649917264012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15606</v>
      </c>
      <c r="H47" s="27">
        <f>G47*F47</f>
        <v>107.6814</v>
      </c>
      <c r="I47" s="28"/>
      <c r="J47" s="263">
        <f>+'GS&lt;50 (1,000kWh)'!$J$47</f>
        <v>6.7000000000000002E-3</v>
      </c>
      <c r="K47" s="70">
        <f>F16*(1+J73)</f>
        <v>15543</v>
      </c>
      <c r="L47" s="27">
        <f>K47*J47</f>
        <v>104.13810000000001</v>
      </c>
      <c r="M47" s="28"/>
      <c r="N47" s="31">
        <f t="shared" si="2"/>
        <v>-3.5432999999999879</v>
      </c>
      <c r="O47" s="32">
        <f t="shared" si="8"/>
        <v>-3.2905404275947264E-2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15606</v>
      </c>
      <c r="H48" s="27">
        <f>G48*F48</f>
        <v>32.772599999999997</v>
      </c>
      <c r="I48" s="28"/>
      <c r="J48" s="263">
        <f>+'GS&lt;50 (1,000kWh)'!$J$48</f>
        <v>2.0999999999999999E-3</v>
      </c>
      <c r="K48" s="70">
        <f>K47</f>
        <v>15543</v>
      </c>
      <c r="L48" s="27">
        <f>K48*J48</f>
        <v>32.640299999999996</v>
      </c>
      <c r="M48" s="28"/>
      <c r="N48" s="31">
        <f t="shared" si="2"/>
        <v>-0.13230000000000075</v>
      </c>
      <c r="O48" s="32">
        <f t="shared" si="8"/>
        <v>-4.0369088811995617E-3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430.53399999999999</v>
      </c>
      <c r="I49" s="61"/>
      <c r="J49" s="62"/>
      <c r="K49" s="63"/>
      <c r="L49" s="54">
        <f>SUM(L46:L48)</f>
        <v>496.63612847999946</v>
      </c>
      <c r="M49" s="61"/>
      <c r="N49" s="44">
        <f t="shared" si="2"/>
        <v>66.102128479999465</v>
      </c>
      <c r="O49" s="45">
        <f t="shared" si="8"/>
        <v>0.15353521087765301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15606</v>
      </c>
      <c r="H50" s="66">
        <f t="shared" ref="H50:H56" si="9">G50*F50</f>
        <v>68.66640000000001</v>
      </c>
      <c r="I50" s="28"/>
      <c r="J50" s="263">
        <f>+'GS&lt;50 (1,000kWh)'!$J$50</f>
        <v>4.4000000000000003E-3</v>
      </c>
      <c r="K50" s="70">
        <f>K48</f>
        <v>15543</v>
      </c>
      <c r="L50" s="66">
        <f t="shared" ref="L50:L56" si="10">K50*J50</f>
        <v>68.389200000000002</v>
      </c>
      <c r="M50" s="28"/>
      <c r="N50" s="31">
        <f t="shared" si="2"/>
        <v>-0.27720000000000766</v>
      </c>
      <c r="O50" s="68">
        <f t="shared" si="8"/>
        <v>-4.0369088811996494E-3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15606</v>
      </c>
      <c r="H51" s="66">
        <f t="shared" si="9"/>
        <v>20.287800000000001</v>
      </c>
      <c r="I51" s="28"/>
      <c r="J51" s="263">
        <f>+'GS&lt;50 (1,000kWh)'!$J$51</f>
        <v>1.2999999999999999E-3</v>
      </c>
      <c r="K51" s="70">
        <f>K48</f>
        <v>15543</v>
      </c>
      <c r="L51" s="66">
        <f t="shared" si="10"/>
        <v>20.2059</v>
      </c>
      <c r="M51" s="28"/>
      <c r="N51" s="31">
        <f t="shared" si="2"/>
        <v>-8.1900000000000972E-2</v>
      </c>
      <c r="O51" s="68">
        <f t="shared" si="8"/>
        <v>-4.036908881199586E-3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15000</v>
      </c>
      <c r="H53" s="66">
        <f t="shared" si="9"/>
        <v>105</v>
      </c>
      <c r="I53" s="28"/>
      <c r="J53" s="263">
        <f>+'GS&lt;50 (1,000kWh)'!$J$53</f>
        <v>7.0000000000000001E-3</v>
      </c>
      <c r="K53" s="70">
        <f>F16</f>
        <v>15000</v>
      </c>
      <c r="L53" s="66">
        <f t="shared" si="10"/>
        <v>105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9600</v>
      </c>
      <c r="H54" s="66">
        <f t="shared" si="9"/>
        <v>739.2</v>
      </c>
      <c r="I54" s="28"/>
      <c r="J54" s="263">
        <f>+'GS&lt;50 (1,000kWh)'!$J$54</f>
        <v>7.6999999999999999E-2</v>
      </c>
      <c r="K54" s="69">
        <f>G54</f>
        <v>9600</v>
      </c>
      <c r="L54" s="66">
        <f t="shared" si="10"/>
        <v>739.2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2700</v>
      </c>
      <c r="H55" s="66">
        <f t="shared" si="9"/>
        <v>307.8</v>
      </c>
      <c r="I55" s="28"/>
      <c r="J55" s="263">
        <f>+'GS&lt;50 (1,000kWh)'!$J$55</f>
        <v>0.114</v>
      </c>
      <c r="K55" s="69">
        <f>G55</f>
        <v>2700</v>
      </c>
      <c r="L55" s="66">
        <f t="shared" si="10"/>
        <v>307.8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2700</v>
      </c>
      <c r="H56" s="66">
        <f t="shared" si="9"/>
        <v>378.00000000000006</v>
      </c>
      <c r="I56" s="28"/>
      <c r="J56" s="263">
        <f>+'GS&lt;50 (1,000kWh)'!$J$56</f>
        <v>0.14000000000000001</v>
      </c>
      <c r="K56" s="69">
        <f>G56</f>
        <v>2700</v>
      </c>
      <c r="L56" s="66">
        <f t="shared" si="10"/>
        <v>378.00000000000006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14400</v>
      </c>
      <c r="H58" s="66">
        <f>G58*F58</f>
        <v>1483.1999999999998</v>
      </c>
      <c r="I58" s="79"/>
      <c r="J58" s="263">
        <f>+'GS&lt;50 (1,000kWh)'!$J$58</f>
        <v>0.10299999999999999</v>
      </c>
      <c r="K58" s="78">
        <f>G58</f>
        <v>14400</v>
      </c>
      <c r="L58" s="66">
        <f>K58*J58</f>
        <v>1483.1999999999998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2049.7382000000002</v>
      </c>
      <c r="I60" s="95"/>
      <c r="J60" s="96"/>
      <c r="K60" s="96"/>
      <c r="L60" s="190">
        <f>SUM(L50:L56,L49)</f>
        <v>2115.4812284799996</v>
      </c>
      <c r="M60" s="97"/>
      <c r="N60" s="98">
        <f>L60-H60</f>
        <v>65.743028479999339</v>
      </c>
      <c r="O60" s="99">
        <f>IF((H60)=0,"",(N60/H60))</f>
        <v>3.2073866057625959E-2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266.46596600000004</v>
      </c>
      <c r="I61" s="104"/>
      <c r="J61" s="105">
        <v>0.13</v>
      </c>
      <c r="K61" s="104"/>
      <c r="L61" s="106">
        <f>L60*J61</f>
        <v>275.01255970239993</v>
      </c>
      <c r="M61" s="107"/>
      <c r="N61" s="108">
        <f t="shared" si="2"/>
        <v>8.546593702399889</v>
      </c>
      <c r="O61" s="109">
        <f t="shared" si="8"/>
        <v>3.2073866057625862E-2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2316.2041660000004</v>
      </c>
      <c r="I62" s="104"/>
      <c r="J62" s="104"/>
      <c r="K62" s="104"/>
      <c r="L62" s="106">
        <f>L60+L61</f>
        <v>2390.4937881823994</v>
      </c>
      <c r="M62" s="107"/>
      <c r="N62" s="108">
        <f t="shared" si="2"/>
        <v>74.289622182398944</v>
      </c>
      <c r="O62" s="109">
        <f t="shared" si="8"/>
        <v>3.2073866057625827E-2</v>
      </c>
      <c r="S62" s="72"/>
    </row>
    <row r="63" spans="2:19" ht="15.75" customHeight="1" x14ac:dyDescent="0.3">
      <c r="B63" s="367" t="s">
        <v>43</v>
      </c>
      <c r="C63" s="367"/>
      <c r="D63" s="367"/>
      <c r="E63" s="22"/>
      <c r="F63" s="111"/>
      <c r="G63" s="102"/>
      <c r="H63" s="112">
        <f>ROUND(-H62*10%,2)</f>
        <v>-231.62</v>
      </c>
      <c r="I63" s="104"/>
      <c r="J63" s="104"/>
      <c r="K63" s="104"/>
      <c r="L63" s="113">
        <f>ROUND(-L62*10%,2)</f>
        <v>-239.05</v>
      </c>
      <c r="M63" s="107"/>
      <c r="N63" s="114">
        <f t="shared" si="2"/>
        <v>-7.4300000000000068</v>
      </c>
      <c r="O63" s="115">
        <f t="shared" si="8"/>
        <v>3.2078404282877157E-2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2084.5841660000006</v>
      </c>
      <c r="I64" s="120"/>
      <c r="J64" s="120"/>
      <c r="K64" s="120"/>
      <c r="L64" s="121">
        <f>L62+L63</f>
        <v>2151.4437881823992</v>
      </c>
      <c r="M64" s="122"/>
      <c r="N64" s="123">
        <f t="shared" si="2"/>
        <v>66.859622182398653</v>
      </c>
      <c r="O64" s="124">
        <f t="shared" si="8"/>
        <v>3.2073361811383268E-2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2160.7381999999998</v>
      </c>
      <c r="I66" s="136"/>
      <c r="J66" s="137"/>
      <c r="K66" s="137"/>
      <c r="L66" s="189">
        <f>SUM(L57:L58,L49,L50:L53)</f>
        <v>2226.4812284799991</v>
      </c>
      <c r="M66" s="138"/>
      <c r="N66" s="139">
        <f>L66-H66</f>
        <v>65.743028479999339</v>
      </c>
      <c r="O66" s="99">
        <f>IF((H66)=0,"",(N66/H66))</f>
        <v>3.0426188827503187E-2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280.89596599999999</v>
      </c>
      <c r="I67" s="143"/>
      <c r="J67" s="144">
        <v>0.13</v>
      </c>
      <c r="K67" s="145"/>
      <c r="L67" s="146">
        <f>L66*J67</f>
        <v>289.44255970239988</v>
      </c>
      <c r="M67" s="147"/>
      <c r="N67" s="148">
        <f>L67-H67</f>
        <v>8.546593702399889</v>
      </c>
      <c r="O67" s="109">
        <f>IF((H67)=0,"",(N67/H67))</f>
        <v>3.0426188827503097E-2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2441.6341659999998</v>
      </c>
      <c r="I68" s="143"/>
      <c r="J68" s="143"/>
      <c r="K68" s="143"/>
      <c r="L68" s="146">
        <f>L66+L67</f>
        <v>2515.9237881823992</v>
      </c>
      <c r="M68" s="147"/>
      <c r="N68" s="148">
        <f>L68-H68</f>
        <v>74.289622182399398</v>
      </c>
      <c r="O68" s="109">
        <f>IF((H68)=0,"",(N68/H68))</f>
        <v>3.0426188827503246E-2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-244.16</v>
      </c>
      <c r="I69" s="143"/>
      <c r="J69" s="143"/>
      <c r="K69" s="143"/>
      <c r="L69" s="153">
        <f>ROUND(-L68*10%,2)</f>
        <v>-251.59</v>
      </c>
      <c r="M69" s="147"/>
      <c r="N69" s="154">
        <f>L69-H69</f>
        <v>-7.4300000000000068</v>
      </c>
      <c r="O69" s="115">
        <f>IF((H69)=0,"",(N69/H69))</f>
        <v>3.0430865006553107E-2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2197.474166</v>
      </c>
      <c r="I70" s="159"/>
      <c r="J70" s="159"/>
      <c r="K70" s="159"/>
      <c r="L70" s="160">
        <f>SUM(L68:L69)</f>
        <v>2264.3337881823991</v>
      </c>
      <c r="M70" s="161"/>
      <c r="N70" s="162">
        <f>L70-H70</f>
        <v>66.859622182399107</v>
      </c>
      <c r="O70" s="163">
        <f>IF((H70)=0,"",(N70/H70))</f>
        <v>3.0425669260131412E-2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B1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1.554687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1.554687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0.1093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2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.75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5"/>
    </row>
    <row r="6" spans="1:20" s="2" customFormat="1" x14ac:dyDescent="0.3">
      <c r="N6" s="7"/>
      <c r="O6"/>
      <c r="P6"/>
    </row>
    <row r="7" spans="1:20" ht="15" x14ac:dyDescent="0.25">
      <c r="L7"/>
      <c r="M7"/>
      <c r="N7"/>
      <c r="O7"/>
      <c r="P7"/>
    </row>
    <row r="8" spans="1:20" ht="18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15" x14ac:dyDescent="0.25">
      <c r="L10"/>
      <c r="M10"/>
      <c r="N10"/>
      <c r="O10"/>
      <c r="P10"/>
    </row>
    <row r="11" spans="1:20" ht="15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93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20000</v>
      </c>
      <c r="G16" s="13" t="s">
        <v>7</v>
      </c>
      <c r="H16" s="14">
        <v>60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15" x14ac:dyDescent="0.25">
      <c r="B21" s="22" t="s">
        <v>18</v>
      </c>
      <c r="C21" s="22"/>
      <c r="D21" s="23" t="s">
        <v>60</v>
      </c>
      <c r="E21" s="24"/>
      <c r="F21" s="174">
        <v>119.38</v>
      </c>
      <c r="G21" s="26">
        <v>1</v>
      </c>
      <c r="H21" s="27">
        <f>G21*F21</f>
        <v>119.38</v>
      </c>
      <c r="I21" s="28"/>
      <c r="J21" s="173">
        <v>135.25</v>
      </c>
      <c r="K21" s="30">
        <v>1</v>
      </c>
      <c r="L21" s="27">
        <f>K21*J21</f>
        <v>135.25</v>
      </c>
      <c r="M21" s="28"/>
      <c r="N21" s="31">
        <f>L21-H21</f>
        <v>15.870000000000005</v>
      </c>
      <c r="O21" s="32">
        <f>IF((H21)=0,"",(N21/H21))</f>
        <v>0.13293684034176584</v>
      </c>
    </row>
    <row r="22" spans="2:15" ht="15" x14ac:dyDescent="0.25">
      <c r="B22" s="296" t="s">
        <v>90</v>
      </c>
      <c r="C22" s="22"/>
      <c r="D22" s="56" t="s">
        <v>70</v>
      </c>
      <c r="E22" s="24"/>
      <c r="F22" s="173"/>
      <c r="G22" s="179">
        <f>+$H$16</f>
        <v>60</v>
      </c>
      <c r="H22" s="27">
        <f t="shared" ref="H22:H36" si="0">G22*F22</f>
        <v>0</v>
      </c>
      <c r="I22" s="28"/>
      <c r="J22" s="263">
        <v>0.16719999999999999</v>
      </c>
      <c r="K22" s="262">
        <f>+$H$16</f>
        <v>60</v>
      </c>
      <c r="L22" s="27">
        <f>K22*J22</f>
        <v>10.032</v>
      </c>
      <c r="M22" s="28"/>
      <c r="N22" s="31">
        <f>L22-H22</f>
        <v>10.032</v>
      </c>
      <c r="O22" s="32" t="str">
        <f>IF((H22)=0,"",(N22/H22))</f>
        <v/>
      </c>
    </row>
    <row r="23" spans="2:15" ht="15" hidden="1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5" hidden="1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v>-9.9000000000000008E-3</v>
      </c>
      <c r="G25" s="179">
        <f>+$H$16</f>
        <v>60</v>
      </c>
      <c r="H25" s="27">
        <f t="shared" si="0"/>
        <v>-0.59400000000000008</v>
      </c>
      <c r="I25" s="28"/>
      <c r="J25" s="29"/>
      <c r="K25" s="179">
        <f>$H$16</f>
        <v>60</v>
      </c>
      <c r="L25" s="27">
        <f t="shared" si="1"/>
        <v>0</v>
      </c>
      <c r="M25" s="28"/>
      <c r="N25" s="31">
        <f t="shared" si="2"/>
        <v>0.59400000000000008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60</v>
      </c>
      <c r="H26" s="27">
        <f t="shared" si="0"/>
        <v>0</v>
      </c>
      <c r="I26" s="28"/>
      <c r="J26" s="263">
        <v>-0.24005098703195524</v>
      </c>
      <c r="K26" s="179">
        <f>$H$16</f>
        <v>60</v>
      </c>
      <c r="L26" s="27">
        <f t="shared" si="1"/>
        <v>-14.403059221917314</v>
      </c>
      <c r="M26" s="28"/>
      <c r="N26" s="31">
        <f t="shared" si="2"/>
        <v>-14.403059221917314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v>4.7394999999999996</v>
      </c>
      <c r="G27" s="179">
        <f>$H$16</f>
        <v>60</v>
      </c>
      <c r="H27" s="27">
        <f t="shared" si="0"/>
        <v>284.37</v>
      </c>
      <c r="I27" s="28"/>
      <c r="J27" s="29">
        <v>5.3209</v>
      </c>
      <c r="K27" s="179">
        <f>$H$16</f>
        <v>60</v>
      </c>
      <c r="L27" s="27">
        <f t="shared" si="1"/>
        <v>319.25400000000002</v>
      </c>
      <c r="M27" s="28"/>
      <c r="N27" s="31">
        <f t="shared" si="2"/>
        <v>34.884000000000015</v>
      </c>
      <c r="O27" s="32">
        <f t="shared" si="3"/>
        <v>0.12267116784470941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20000</v>
      </c>
      <c r="H28" s="27">
        <f t="shared" si="0"/>
        <v>0</v>
      </c>
      <c r="I28" s="28"/>
      <c r="J28" s="29"/>
      <c r="K28" s="26">
        <f t="shared" ref="K28:K36" si="4">$F$16</f>
        <v>20000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20000</v>
      </c>
      <c r="H29" s="27">
        <f t="shared" si="0"/>
        <v>0</v>
      </c>
      <c r="I29" s="28"/>
      <c r="J29" s="29"/>
      <c r="K29" s="26">
        <f t="shared" si="4"/>
        <v>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20000</v>
      </c>
      <c r="H30" s="27">
        <f t="shared" si="0"/>
        <v>0</v>
      </c>
      <c r="I30" s="28"/>
      <c r="J30" s="29"/>
      <c r="K30" s="26">
        <f t="shared" si="4"/>
        <v>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20000</v>
      </c>
      <c r="H31" s="27">
        <f t="shared" si="0"/>
        <v>0</v>
      </c>
      <c r="I31" s="28"/>
      <c r="J31" s="29"/>
      <c r="K31" s="26">
        <f t="shared" si="4"/>
        <v>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20000</v>
      </c>
      <c r="H32" s="27">
        <f t="shared" si="0"/>
        <v>0</v>
      </c>
      <c r="I32" s="28"/>
      <c r="J32" s="29"/>
      <c r="K32" s="26">
        <f t="shared" si="4"/>
        <v>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ht="15" hidden="1" x14ac:dyDescent="0.25">
      <c r="B33" s="33"/>
      <c r="C33" s="22"/>
      <c r="D33" s="23"/>
      <c r="E33" s="24"/>
      <c r="F33" s="25"/>
      <c r="G33" s="26">
        <f t="shared" si="5"/>
        <v>20000</v>
      </c>
      <c r="H33" s="27">
        <f t="shared" si="0"/>
        <v>0</v>
      </c>
      <c r="I33" s="28"/>
      <c r="J33" s="29"/>
      <c r="K33" s="26">
        <f t="shared" si="4"/>
        <v>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ht="15" hidden="1" x14ac:dyDescent="0.25">
      <c r="B34" s="33"/>
      <c r="C34" s="22"/>
      <c r="D34" s="23"/>
      <c r="E34" s="24"/>
      <c r="F34" s="25"/>
      <c r="G34" s="26">
        <f t="shared" si="5"/>
        <v>20000</v>
      </c>
      <c r="H34" s="27">
        <f t="shared" si="0"/>
        <v>0</v>
      </c>
      <c r="I34" s="28"/>
      <c r="J34" s="29"/>
      <c r="K34" s="26">
        <f t="shared" si="4"/>
        <v>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ht="15" hidden="1" x14ac:dyDescent="0.25">
      <c r="B35" s="33"/>
      <c r="C35" s="22"/>
      <c r="D35" s="23"/>
      <c r="E35" s="24"/>
      <c r="F35" s="25"/>
      <c r="G35" s="26">
        <f t="shared" si="5"/>
        <v>20000</v>
      </c>
      <c r="H35" s="27">
        <f t="shared" si="0"/>
        <v>0</v>
      </c>
      <c r="I35" s="28"/>
      <c r="J35" s="29"/>
      <c r="K35" s="26">
        <f t="shared" si="4"/>
        <v>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ht="15" hidden="1" x14ac:dyDescent="0.25">
      <c r="B36" s="33"/>
      <c r="C36" s="22"/>
      <c r="D36" s="23"/>
      <c r="E36" s="24"/>
      <c r="F36" s="25"/>
      <c r="G36" s="26">
        <f t="shared" si="5"/>
        <v>20000</v>
      </c>
      <c r="H36" s="27">
        <f t="shared" si="0"/>
        <v>0</v>
      </c>
      <c r="I36" s="28"/>
      <c r="J36" s="29"/>
      <c r="K36" s="26">
        <f t="shared" si="4"/>
        <v>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403.15600000000001</v>
      </c>
      <c r="I37" s="41"/>
      <c r="J37" s="42"/>
      <c r="K37" s="43"/>
      <c r="L37" s="40">
        <f>SUM(L21:L36)</f>
        <v>450.13294077808268</v>
      </c>
      <c r="M37" s="41"/>
      <c r="N37" s="44">
        <f t="shared" si="2"/>
        <v>46.976940778082678</v>
      </c>
      <c r="O37" s="45">
        <f t="shared" si="3"/>
        <v>0.11652298558891019</v>
      </c>
    </row>
    <row r="38" spans="2:17" ht="15" x14ac:dyDescent="0.25">
      <c r="B38" s="296" t="s">
        <v>23</v>
      </c>
      <c r="C38" s="22"/>
      <c r="D38" s="56" t="s">
        <v>70</v>
      </c>
      <c r="E38" s="57"/>
      <c r="F38" s="29">
        <v>-0.6502</v>
      </c>
      <c r="G38" s="179">
        <f>G27</f>
        <v>60</v>
      </c>
      <c r="H38" s="27">
        <f t="shared" ref="H38:H44" si="6">G38*F38</f>
        <v>-39.012</v>
      </c>
      <c r="I38" s="28"/>
      <c r="J38" s="263">
        <v>0.78958051332893586</v>
      </c>
      <c r="K38" s="179">
        <f>H16</f>
        <v>60</v>
      </c>
      <c r="L38" s="27">
        <f t="shared" ref="L38:L44" si="7">K38*J38</f>
        <v>47.374830799736152</v>
      </c>
      <c r="M38" s="28"/>
      <c r="N38" s="31">
        <f t="shared" ref="N38:N44" si="8">L38-H38</f>
        <v>86.386830799736146</v>
      </c>
      <c r="O38" s="32">
        <f t="shared" ref="O38:O43" si="9">IF((H38)=0,"",(N38/H38))</f>
        <v>-2.2143656003213406</v>
      </c>
    </row>
    <row r="39" spans="2:17" ht="15" x14ac:dyDescent="0.25">
      <c r="B39" s="296"/>
      <c r="C39" s="22"/>
      <c r="D39" s="23" t="s">
        <v>70</v>
      </c>
      <c r="E39" s="24"/>
      <c r="F39" s="25"/>
      <c r="G39" s="179">
        <f>H16</f>
        <v>60</v>
      </c>
      <c r="H39" s="27">
        <f t="shared" si="6"/>
        <v>0</v>
      </c>
      <c r="I39" s="47"/>
      <c r="J39" s="29"/>
      <c r="K39" s="179">
        <f>H16</f>
        <v>60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7" ht="15" hidden="1" x14ac:dyDescent="0.25">
      <c r="B40" s="46"/>
      <c r="C40" s="22"/>
      <c r="D40" s="23" t="s">
        <v>70</v>
      </c>
      <c r="E40" s="24"/>
      <c r="F40" s="25"/>
      <c r="G40" s="179">
        <f>H16</f>
        <v>60</v>
      </c>
      <c r="H40" s="27">
        <f t="shared" si="6"/>
        <v>0</v>
      </c>
      <c r="I40" s="47"/>
      <c r="J40" s="29"/>
      <c r="K40" s="179">
        <f>H16</f>
        <v>60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7" ht="32.25" customHeight="1" x14ac:dyDescent="0.3">
      <c r="B41" s="296" t="s">
        <v>74</v>
      </c>
      <c r="C41" s="22"/>
      <c r="D41" s="56" t="s">
        <v>70</v>
      </c>
      <c r="E41" s="24"/>
      <c r="F41" s="29">
        <v>0.26750000000000002</v>
      </c>
      <c r="G41" s="179">
        <f>H16</f>
        <v>60</v>
      </c>
      <c r="H41" s="27">
        <f t="shared" si="6"/>
        <v>16.05</v>
      </c>
      <c r="I41" s="47"/>
      <c r="J41" s="29">
        <v>1.2659</v>
      </c>
      <c r="K41" s="179">
        <f>H16</f>
        <v>60</v>
      </c>
      <c r="L41" s="27">
        <f t="shared" si="7"/>
        <v>75.954000000000008</v>
      </c>
      <c r="M41" s="48"/>
      <c r="N41" s="31">
        <f t="shared" si="8"/>
        <v>59.904000000000011</v>
      </c>
      <c r="O41" s="32">
        <f t="shared" si="9"/>
        <v>3.7323364485981312</v>
      </c>
    </row>
    <row r="42" spans="2:17" x14ac:dyDescent="0.3">
      <c r="B42" s="49" t="s">
        <v>24</v>
      </c>
      <c r="C42" s="22"/>
      <c r="D42" s="23" t="s">
        <v>70</v>
      </c>
      <c r="E42" s="24"/>
      <c r="F42" s="25">
        <v>5.5100000000000003E-2</v>
      </c>
      <c r="G42" s="179">
        <f>H16</f>
        <v>60</v>
      </c>
      <c r="H42" s="27">
        <f t="shared" si="6"/>
        <v>3.306</v>
      </c>
      <c r="I42" s="28"/>
      <c r="J42" s="29">
        <v>7.51E-2</v>
      </c>
      <c r="K42" s="179">
        <f>H16</f>
        <v>60</v>
      </c>
      <c r="L42" s="27">
        <f t="shared" si="7"/>
        <v>4.5060000000000002</v>
      </c>
      <c r="M42" s="28"/>
      <c r="N42" s="31">
        <f t="shared" si="8"/>
        <v>1.2000000000000002</v>
      </c>
      <c r="O42" s="32">
        <f t="shared" si="9"/>
        <v>0.36297640653357538</v>
      </c>
    </row>
    <row r="43" spans="2:17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808</v>
      </c>
      <c r="H43" s="184">
        <f t="shared" si="6"/>
        <v>60.599999999999994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724</v>
      </c>
      <c r="L43" s="184">
        <f t="shared" si="7"/>
        <v>54.3</v>
      </c>
      <c r="M43" s="57"/>
      <c r="N43" s="186">
        <f t="shared" si="8"/>
        <v>-6.2999999999999972</v>
      </c>
      <c r="O43" s="187">
        <f t="shared" si="9"/>
        <v>-0.10396039603960393</v>
      </c>
    </row>
    <row r="44" spans="2:17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7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444.1</v>
      </c>
      <c r="I45" s="41"/>
      <c r="J45" s="53"/>
      <c r="K45" s="55"/>
      <c r="L45" s="54">
        <f>SUM(L38:L44)+L37</f>
        <v>632.26777157781885</v>
      </c>
      <c r="M45" s="41"/>
      <c r="N45" s="44">
        <f t="shared" ref="N45:N63" si="10">L45-H45</f>
        <v>188.16777157781883</v>
      </c>
      <c r="O45" s="45">
        <f t="shared" ref="O45:O63" si="11">IF((H45)=0,"",(N45/H45))</f>
        <v>0.42370585809011219</v>
      </c>
    </row>
    <row r="46" spans="2:17" x14ac:dyDescent="0.3">
      <c r="B46" s="28" t="s">
        <v>28</v>
      </c>
      <c r="C46" s="28"/>
      <c r="D46" s="56" t="s">
        <v>70</v>
      </c>
      <c r="E46" s="57"/>
      <c r="F46" s="263">
        <v>2.8420999999999998</v>
      </c>
      <c r="G46" s="289">
        <f>H16</f>
        <v>60</v>
      </c>
      <c r="H46" s="27">
        <f>G46*F46</f>
        <v>170.52599999999998</v>
      </c>
      <c r="I46" s="28"/>
      <c r="J46" s="29">
        <v>2.7740999999999998</v>
      </c>
      <c r="K46" s="290">
        <f>+G46</f>
        <v>60</v>
      </c>
      <c r="L46" s="27">
        <f>K46*J46</f>
        <v>166.446</v>
      </c>
      <c r="M46" s="28"/>
      <c r="N46" s="31">
        <f t="shared" si="10"/>
        <v>-4.0799999999999841</v>
      </c>
      <c r="O46" s="32">
        <f t="shared" si="11"/>
        <v>-2.392597023327812E-2</v>
      </c>
      <c r="P46" s="34"/>
      <c r="Q46" s="34"/>
    </row>
    <row r="47" spans="2:17" x14ac:dyDescent="0.3">
      <c r="B47" s="59" t="s">
        <v>29</v>
      </c>
      <c r="C47" s="28"/>
      <c r="D47" s="56" t="s">
        <v>70</v>
      </c>
      <c r="E47" s="57"/>
      <c r="F47" s="263">
        <v>0.8165</v>
      </c>
      <c r="G47" s="289">
        <f>G46</f>
        <v>60</v>
      </c>
      <c r="H47" s="27">
        <f>G47*F47</f>
        <v>48.99</v>
      </c>
      <c r="I47" s="28"/>
      <c r="J47" s="29">
        <v>0.80359999999999998</v>
      </c>
      <c r="K47" s="290">
        <f>K46</f>
        <v>60</v>
      </c>
      <c r="L47" s="27">
        <f>K47*J47</f>
        <v>48.216000000000001</v>
      </c>
      <c r="M47" s="28"/>
      <c r="N47" s="31">
        <f t="shared" si="10"/>
        <v>-0.77400000000000091</v>
      </c>
      <c r="O47" s="32">
        <f t="shared" si="11"/>
        <v>-1.5799142682180054E-2</v>
      </c>
      <c r="P47" s="34"/>
      <c r="Q47" s="34"/>
    </row>
    <row r="48" spans="2:17" x14ac:dyDescent="0.3">
      <c r="B48" s="50" t="s">
        <v>30</v>
      </c>
      <c r="C48" s="36"/>
      <c r="D48" s="36"/>
      <c r="E48" s="36"/>
      <c r="F48" s="60"/>
      <c r="G48" s="306"/>
      <c r="H48" s="54">
        <f>SUM(H45:H47)</f>
        <v>663.61599999999999</v>
      </c>
      <c r="I48" s="61"/>
      <c r="J48" s="62"/>
      <c r="K48" s="294"/>
      <c r="L48" s="54">
        <f>SUM(L45:L47)</f>
        <v>846.92977157781888</v>
      </c>
      <c r="M48" s="61"/>
      <c r="N48" s="44">
        <f t="shared" si="10"/>
        <v>183.3137715778189</v>
      </c>
      <c r="O48" s="45">
        <f t="shared" si="11"/>
        <v>0.27623470738773465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20808</v>
      </c>
      <c r="H49" s="66">
        <f t="shared" ref="H49:H55" si="12">G49*F49</f>
        <v>91.555199999999999</v>
      </c>
      <c r="I49" s="28"/>
      <c r="J49" s="263">
        <f>+F49</f>
        <v>4.4000000000000003E-3</v>
      </c>
      <c r="K49" s="290">
        <f>F16*(1+J72)</f>
        <v>20724</v>
      </c>
      <c r="L49" s="66">
        <f t="shared" ref="L49:L55" si="13">K49*J49</f>
        <v>91.185600000000008</v>
      </c>
      <c r="M49" s="28"/>
      <c r="N49" s="31">
        <f t="shared" si="10"/>
        <v>-0.36959999999999127</v>
      </c>
      <c r="O49" s="68">
        <f t="shared" si="11"/>
        <v>-4.0369088811994429E-3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20808</v>
      </c>
      <c r="H50" s="66">
        <f t="shared" si="12"/>
        <v>27.0504</v>
      </c>
      <c r="I50" s="28"/>
      <c r="J50" s="263">
        <f>+F50</f>
        <v>1.2999999999999999E-3</v>
      </c>
      <c r="K50" s="290">
        <f>K49</f>
        <v>20724</v>
      </c>
      <c r="L50" s="66">
        <f t="shared" si="13"/>
        <v>26.941199999999998</v>
      </c>
      <c r="M50" s="28"/>
      <c r="N50" s="31">
        <f t="shared" si="10"/>
        <v>-0.1092000000000013</v>
      </c>
      <c r="O50" s="68">
        <f t="shared" si="11"/>
        <v>-4.0369088811995869E-3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20000</v>
      </c>
      <c r="H52" s="66">
        <f t="shared" si="12"/>
        <v>140</v>
      </c>
      <c r="I52" s="28"/>
      <c r="J52" s="263">
        <f>+F52</f>
        <v>7.0000000000000001E-3</v>
      </c>
      <c r="K52" s="70">
        <f>F16</f>
        <v>20000</v>
      </c>
      <c r="L52" s="66">
        <f t="shared" si="13"/>
        <v>140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4" t="s">
        <v>97</v>
      </c>
      <c r="C53" s="22"/>
      <c r="D53" s="23" t="s">
        <v>61</v>
      </c>
      <c r="E53" s="24"/>
      <c r="F53" s="65">
        <f>0.02064+0.07488</f>
        <v>9.5519999999999994E-2</v>
      </c>
      <c r="G53" s="69">
        <f>F16</f>
        <v>20000</v>
      </c>
      <c r="H53" s="66">
        <f t="shared" si="12"/>
        <v>1910.3999999999999</v>
      </c>
      <c r="I53" s="28"/>
      <c r="J53" s="263">
        <f>+F53</f>
        <v>9.5519999999999994E-2</v>
      </c>
      <c r="K53" s="69">
        <f>G53</f>
        <v>20000</v>
      </c>
      <c r="L53" s="66">
        <f t="shared" si="13"/>
        <v>1910.3999999999999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15.75" hidden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2832.8715999999999</v>
      </c>
      <c r="I59" s="95"/>
      <c r="J59" s="96"/>
      <c r="K59" s="96"/>
      <c r="L59" s="94">
        <f>SUM(L49:L55,L48)</f>
        <v>3015.7065715778185</v>
      </c>
      <c r="M59" s="97"/>
      <c r="N59" s="98">
        <f>L59-H59</f>
        <v>182.83497157781858</v>
      </c>
      <c r="O59" s="99">
        <f>IF((H59)=0,"",(N59/H59))</f>
        <v>6.454050779351192E-2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368.27330799999999</v>
      </c>
      <c r="I60" s="104"/>
      <c r="J60" s="105">
        <v>0.13</v>
      </c>
      <c r="K60" s="104"/>
      <c r="L60" s="106">
        <f>L59*J60</f>
        <v>392.04185430511643</v>
      </c>
      <c r="M60" s="107"/>
      <c r="N60" s="108">
        <f t="shared" si="10"/>
        <v>23.768546305116445</v>
      </c>
      <c r="O60" s="109">
        <f t="shared" si="11"/>
        <v>6.4540507793512003E-2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3201.1449079999998</v>
      </c>
      <c r="I61" s="104"/>
      <c r="J61" s="104"/>
      <c r="K61" s="104"/>
      <c r="L61" s="106">
        <f>L59+L60</f>
        <v>3407.748425882935</v>
      </c>
      <c r="M61" s="107"/>
      <c r="N61" s="108">
        <f t="shared" si="10"/>
        <v>206.60351788293519</v>
      </c>
      <c r="O61" s="109">
        <f t="shared" si="11"/>
        <v>6.4540507793511989E-2</v>
      </c>
      <c r="S61" s="72"/>
    </row>
    <row r="62" spans="2:19" ht="15" hidden="1" x14ac:dyDescent="0.25">
      <c r="B62" s="367" t="s">
        <v>43</v>
      </c>
      <c r="C62" s="367"/>
      <c r="D62" s="367"/>
      <c r="E62" s="22"/>
      <c r="F62" s="111"/>
      <c r="G62" s="102"/>
      <c r="H62" s="112">
        <f>ROUND(-H61*10%,2)</f>
        <v>-320.11</v>
      </c>
      <c r="I62" s="104"/>
      <c r="J62" s="104"/>
      <c r="K62" s="104"/>
      <c r="L62" s="113">
        <f>ROUND(-L61*10%,2)</f>
        <v>-340.77</v>
      </c>
      <c r="M62" s="107"/>
      <c r="N62" s="114">
        <f t="shared" si="10"/>
        <v>-20.659999999999968</v>
      </c>
      <c r="O62" s="115">
        <f t="shared" si="11"/>
        <v>6.4540314266970628E-2</v>
      </c>
    </row>
    <row r="63" spans="2:19" ht="15.75" hidden="1" thickBot="1" x14ac:dyDescent="0.3">
      <c r="B63" s="364" t="s">
        <v>44</v>
      </c>
      <c r="C63" s="364"/>
      <c r="D63" s="364"/>
      <c r="E63" s="116"/>
      <c r="F63" s="117"/>
      <c r="G63" s="118"/>
      <c r="H63" s="119">
        <f>H61+H62</f>
        <v>2881.0349079999996</v>
      </c>
      <c r="I63" s="120"/>
      <c r="J63" s="120"/>
      <c r="K63" s="120"/>
      <c r="L63" s="121">
        <f>L61+L62</f>
        <v>3066.978425882935</v>
      </c>
      <c r="M63" s="122"/>
      <c r="N63" s="123">
        <f t="shared" si="10"/>
        <v>185.94351788293534</v>
      </c>
      <c r="O63" s="124">
        <f t="shared" si="11"/>
        <v>6.4540529296125887E-2</v>
      </c>
    </row>
    <row r="64" spans="2:19" s="73" customFormat="1" ht="15" thickBot="1" x14ac:dyDescent="0.3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2832.8715999999995</v>
      </c>
      <c r="I65" s="136"/>
      <c r="J65" s="137"/>
      <c r="K65" s="137"/>
      <c r="L65" s="189">
        <f>SUM(L53,L48,L49:L52)</f>
        <v>3015.706571577819</v>
      </c>
      <c r="M65" s="138"/>
      <c r="N65" s="139">
        <f>L65-H65</f>
        <v>182.83497157781949</v>
      </c>
      <c r="O65" s="99">
        <f>IF((H65)=0,"",(N65/H65))</f>
        <v>6.4540507793512253E-2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368.27330799999993</v>
      </c>
      <c r="I66" s="143"/>
      <c r="J66" s="144">
        <v>0.13</v>
      </c>
      <c r="K66" s="145"/>
      <c r="L66" s="146">
        <f>L65*J66</f>
        <v>392.04185430511649</v>
      </c>
      <c r="M66" s="147"/>
      <c r="N66" s="148">
        <f>L66-H66</f>
        <v>23.768546305116558</v>
      </c>
      <c r="O66" s="109">
        <f>IF((H66)=0,"",(N66/H66))</f>
        <v>6.4540507793512322E-2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3201.1449079999993</v>
      </c>
      <c r="I67" s="143"/>
      <c r="J67" s="143"/>
      <c r="K67" s="143"/>
      <c r="L67" s="146">
        <f>L65+L66</f>
        <v>3407.7484258829354</v>
      </c>
      <c r="M67" s="147"/>
      <c r="N67" s="148">
        <f>L67-H67</f>
        <v>206.6035178829361</v>
      </c>
      <c r="O67" s="109">
        <f>IF((H67)=0,"",(N67/H67))</f>
        <v>6.4540507793512281E-2</v>
      </c>
    </row>
    <row r="68" spans="1:15" s="73" customFormat="1" ht="13.2" x14ac:dyDescent="0.25">
      <c r="B68" s="368" t="s">
        <v>43</v>
      </c>
      <c r="C68" s="368"/>
      <c r="D68" s="368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6" t="s">
        <v>46</v>
      </c>
      <c r="C69" s="356"/>
      <c r="D69" s="356"/>
      <c r="E69" s="155"/>
      <c r="F69" s="156"/>
      <c r="G69" s="157"/>
      <c r="H69" s="158">
        <f>SUM(H67:H68)</f>
        <v>3201.1449079999993</v>
      </c>
      <c r="I69" s="159"/>
      <c r="J69" s="159"/>
      <c r="K69" s="159"/>
      <c r="L69" s="160">
        <f>SUM(L67:L68)</f>
        <v>3407.7484258829354</v>
      </c>
      <c r="M69" s="161"/>
      <c r="N69" s="162">
        <f>L69-H69</f>
        <v>206.6035178829361</v>
      </c>
      <c r="O69" s="163">
        <f>IF((H69)=0,"",(N69/H69))</f>
        <v>6.4540507793512281E-2</v>
      </c>
    </row>
    <row r="70" spans="1:15" s="73" customFormat="1" ht="15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ht="16.2" x14ac:dyDescent="0.3">
      <c r="A74" s="171" t="s">
        <v>48</v>
      </c>
    </row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  <mergeCell ref="B69:D69"/>
    <mergeCell ref="D19:D20"/>
    <mergeCell ref="N19:N20"/>
    <mergeCell ref="O19:O20"/>
    <mergeCell ref="B62:D62"/>
    <mergeCell ref="B68:D68"/>
    <mergeCell ref="B63:D6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1.554687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1.554687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1093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93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40000</v>
      </c>
      <c r="G16" s="13" t="s">
        <v>7</v>
      </c>
      <c r="H16" s="14">
        <v>100</v>
      </c>
      <c r="I16" s="13" t="s">
        <v>69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135.25</v>
      </c>
      <c r="K21" s="30">
        <v>1</v>
      </c>
      <c r="L21" s="27">
        <f>K21*J21</f>
        <v>135.25</v>
      </c>
      <c r="M21" s="28"/>
      <c r="N21" s="31">
        <f>L21-H21</f>
        <v>15.870000000000005</v>
      </c>
      <c r="O21" s="32">
        <f>IF((H21)=0,"",(N21/H21))</f>
        <v>0.13293684034176584</v>
      </c>
    </row>
    <row r="22" spans="2:15" ht="36.75" customHeight="1" x14ac:dyDescent="0.25">
      <c r="B22" s="296" t="s">
        <v>90</v>
      </c>
      <c r="C22" s="22"/>
      <c r="D22" s="56" t="s">
        <v>70</v>
      </c>
      <c r="E22" s="24"/>
      <c r="F22" s="173"/>
      <c r="G22" s="179">
        <f>+$H$16</f>
        <v>100</v>
      </c>
      <c r="H22" s="27">
        <f t="shared" ref="H22:H36" si="0">G22*F22</f>
        <v>0</v>
      </c>
      <c r="I22" s="28"/>
      <c r="J22" s="29">
        <f>+'GS 50-4999 (60kW)'!$J$22</f>
        <v>0.16719999999999999</v>
      </c>
      <c r="K22" s="262">
        <f>+$H$16</f>
        <v>100</v>
      </c>
      <c r="L22" s="27">
        <f>K22*J22</f>
        <v>16.72</v>
      </c>
      <c r="M22" s="28"/>
      <c r="N22" s="31">
        <f>L22-H22</f>
        <v>16.72</v>
      </c>
      <c r="O22" s="32" t="str">
        <f>IF((H22)=0,"",(N22/H22))</f>
        <v/>
      </c>
    </row>
    <row r="23" spans="2:15" ht="15" hidden="1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5" hidden="1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</v>
      </c>
      <c r="H25" s="27">
        <f t="shared" si="0"/>
        <v>-0.9900000000000001</v>
      </c>
      <c r="I25" s="28"/>
      <c r="J25" s="29">
        <f>+'GS 50-4999 (60kW)'!$J$25</f>
        <v>0</v>
      </c>
      <c r="K25" s="179">
        <f>$H$16</f>
        <v>100</v>
      </c>
      <c r="L25" s="27">
        <f t="shared" si="1"/>
        <v>0</v>
      </c>
      <c r="M25" s="28"/>
      <c r="N25" s="31">
        <f t="shared" si="2"/>
        <v>0.9900000000000001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100</v>
      </c>
      <c r="H26" s="27">
        <f t="shared" si="0"/>
        <v>0</v>
      </c>
      <c r="I26" s="28"/>
      <c r="J26" s="29">
        <f>+'GS 50-4999 (60kW)'!$J$26</f>
        <v>-0.24005098703195524</v>
      </c>
      <c r="K26" s="179">
        <f>$H$16</f>
        <v>100</v>
      </c>
      <c r="L26" s="27">
        <f t="shared" si="1"/>
        <v>-24.005098703195525</v>
      </c>
      <c r="M26" s="28"/>
      <c r="N26" s="31">
        <f t="shared" si="2"/>
        <v>-24.005098703195525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</v>
      </c>
      <c r="H27" s="27">
        <f t="shared" si="0"/>
        <v>473.94999999999993</v>
      </c>
      <c r="I27" s="28"/>
      <c r="J27" s="29">
        <f>+'GS 50-4999 (60kW)'!$J$27</f>
        <v>5.3209</v>
      </c>
      <c r="K27" s="179">
        <f>$H$16</f>
        <v>100</v>
      </c>
      <c r="L27" s="27">
        <f t="shared" si="1"/>
        <v>532.09</v>
      </c>
      <c r="M27" s="28"/>
      <c r="N27" s="31">
        <f t="shared" si="2"/>
        <v>58.1400000000001</v>
      </c>
      <c r="O27" s="32">
        <f t="shared" si="3"/>
        <v>0.12267116784470959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40000</v>
      </c>
      <c r="H28" s="27">
        <f t="shared" si="0"/>
        <v>0</v>
      </c>
      <c r="I28" s="28"/>
      <c r="J28" s="29"/>
      <c r="K28" s="26">
        <f t="shared" ref="K28:K36" si="4">$F$16</f>
        <v>40000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40000</v>
      </c>
      <c r="H29" s="27">
        <f t="shared" si="0"/>
        <v>0</v>
      </c>
      <c r="I29" s="28"/>
      <c r="J29" s="29"/>
      <c r="K29" s="26">
        <f t="shared" si="4"/>
        <v>40000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40000</v>
      </c>
      <c r="H30" s="27">
        <f t="shared" si="0"/>
        <v>0</v>
      </c>
      <c r="I30" s="28"/>
      <c r="J30" s="29"/>
      <c r="K30" s="26">
        <f t="shared" si="4"/>
        <v>40000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40000</v>
      </c>
      <c r="H31" s="27">
        <f t="shared" si="0"/>
        <v>0</v>
      </c>
      <c r="I31" s="28"/>
      <c r="J31" s="29"/>
      <c r="K31" s="26">
        <f t="shared" si="4"/>
        <v>40000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40000</v>
      </c>
      <c r="H32" s="27">
        <f t="shared" si="0"/>
        <v>0</v>
      </c>
      <c r="I32" s="28"/>
      <c r="J32" s="29"/>
      <c r="K32" s="26">
        <f t="shared" si="4"/>
        <v>40000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40000</v>
      </c>
      <c r="H33" s="27">
        <f t="shared" si="0"/>
        <v>0</v>
      </c>
      <c r="I33" s="28"/>
      <c r="J33" s="29"/>
      <c r="K33" s="26">
        <f t="shared" si="4"/>
        <v>40000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40000</v>
      </c>
      <c r="H34" s="27">
        <f t="shared" si="0"/>
        <v>0</v>
      </c>
      <c r="I34" s="28"/>
      <c r="J34" s="29"/>
      <c r="K34" s="26">
        <f t="shared" si="4"/>
        <v>40000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40000</v>
      </c>
      <c r="H35" s="27">
        <f t="shared" si="0"/>
        <v>0</v>
      </c>
      <c r="I35" s="28"/>
      <c r="J35" s="29"/>
      <c r="K35" s="26">
        <f t="shared" si="4"/>
        <v>40000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40000</v>
      </c>
      <c r="H36" s="27">
        <f t="shared" si="0"/>
        <v>0</v>
      </c>
      <c r="I36" s="28"/>
      <c r="J36" s="29"/>
      <c r="K36" s="26">
        <f t="shared" si="4"/>
        <v>40000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592.33999999999992</v>
      </c>
      <c r="I37" s="41"/>
      <c r="J37" s="42"/>
      <c r="K37" s="43"/>
      <c r="L37" s="40">
        <f>SUM(L21:L36)</f>
        <v>660.05490129680447</v>
      </c>
      <c r="M37" s="41"/>
      <c r="N37" s="44">
        <f t="shared" si="2"/>
        <v>67.714901296804555</v>
      </c>
      <c r="O37" s="45">
        <f t="shared" si="3"/>
        <v>0.11431762382551333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</v>
      </c>
      <c r="H38" s="27">
        <f t="shared" ref="H38:H44" si="6">G38*F38</f>
        <v>-65.02</v>
      </c>
      <c r="I38" s="28"/>
      <c r="J38" s="29">
        <f>+'GS 50-4999 (60kW)'!$J$38</f>
        <v>0.78958051332893586</v>
      </c>
      <c r="K38" s="179">
        <f>H16</f>
        <v>100</v>
      </c>
      <c r="L38" s="27">
        <f t="shared" ref="L38:L44" si="7">K38*J38</f>
        <v>78.958051332893589</v>
      </c>
      <c r="M38" s="28"/>
      <c r="N38" s="31">
        <f t="shared" si="2"/>
        <v>143.97805133289359</v>
      </c>
      <c r="O38" s="32">
        <f t="shared" si="3"/>
        <v>-2.214365600321341</v>
      </c>
    </row>
    <row r="39" spans="2:15" ht="15" x14ac:dyDescent="0.25">
      <c r="B39" s="296"/>
      <c r="C39" s="22"/>
      <c r="D39" s="23" t="s">
        <v>70</v>
      </c>
      <c r="E39" s="24"/>
      <c r="F39" s="25"/>
      <c r="G39" s="179">
        <f>H16</f>
        <v>100</v>
      </c>
      <c r="H39" s="27">
        <f t="shared" si="6"/>
        <v>0</v>
      </c>
      <c r="I39" s="47"/>
      <c r="J39" s="29"/>
      <c r="K39" s="179">
        <f>H16</f>
        <v>100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5" hidden="1" x14ac:dyDescent="0.25">
      <c r="B40" s="296"/>
      <c r="C40" s="22"/>
      <c r="D40" s="23" t="s">
        <v>70</v>
      </c>
      <c r="E40" s="24"/>
      <c r="F40" s="25"/>
      <c r="G40" s="179">
        <f>H16</f>
        <v>100</v>
      </c>
      <c r="H40" s="27">
        <f t="shared" si="6"/>
        <v>0</v>
      </c>
      <c r="I40" s="47"/>
      <c r="J40" s="29"/>
      <c r="K40" s="179">
        <f>H16</f>
        <v>100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100</v>
      </c>
      <c r="H41" s="27">
        <f t="shared" si="6"/>
        <v>26.75</v>
      </c>
      <c r="I41" s="47"/>
      <c r="J41" s="29">
        <f>+'GS 50-4999 (60kW)'!$J$41</f>
        <v>1.2659</v>
      </c>
      <c r="K41" s="179">
        <f>H16</f>
        <v>100</v>
      </c>
      <c r="L41" s="27">
        <f t="shared" si="7"/>
        <v>126.59</v>
      </c>
      <c r="M41" s="48"/>
      <c r="N41" s="31">
        <f t="shared" si="2"/>
        <v>99.84</v>
      </c>
      <c r="O41" s="32">
        <f t="shared" si="3"/>
        <v>3.7323364485981312</v>
      </c>
    </row>
    <row r="42" spans="2:15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</v>
      </c>
      <c r="H42" s="27">
        <f t="shared" si="6"/>
        <v>5.5100000000000007</v>
      </c>
      <c r="I42" s="28"/>
      <c r="J42" s="29">
        <f>+'GS 50-4999 (60kW)'!$J$42</f>
        <v>7.51E-2</v>
      </c>
      <c r="K42" s="179">
        <f>H16</f>
        <v>100</v>
      </c>
      <c r="L42" s="27">
        <f t="shared" si="7"/>
        <v>7.51</v>
      </c>
      <c r="M42" s="28"/>
      <c r="N42" s="31">
        <f t="shared" si="2"/>
        <v>1.9999999999999991</v>
      </c>
      <c r="O42" s="32">
        <f t="shared" si="3"/>
        <v>0.3629764065335751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1616</v>
      </c>
      <c r="H43" s="184">
        <f t="shared" si="6"/>
        <v>121.19999999999999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1448</v>
      </c>
      <c r="L43" s="184">
        <f t="shared" si="7"/>
        <v>108.6</v>
      </c>
      <c r="M43" s="57"/>
      <c r="N43" s="186">
        <f t="shared" si="2"/>
        <v>-12.599999999999994</v>
      </c>
      <c r="O43" s="187">
        <f t="shared" si="3"/>
        <v>-0.10396039603960393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680.78</v>
      </c>
      <c r="I45" s="41"/>
      <c r="J45" s="53"/>
      <c r="K45" s="55"/>
      <c r="L45" s="54">
        <f>SUM(L38:L44)+L37</f>
        <v>981.71295262969807</v>
      </c>
      <c r="M45" s="41"/>
      <c r="N45" s="44">
        <f t="shared" si="2"/>
        <v>300.93295262969809</v>
      </c>
      <c r="O45" s="45">
        <f t="shared" ref="O45:O63" si="8">IF((H45)=0,"",(N45/H45))</f>
        <v>0.44204141224727239</v>
      </c>
    </row>
    <row r="46" spans="2:1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</v>
      </c>
      <c r="H46" s="27">
        <f>G46*F46</f>
        <v>284.20999999999998</v>
      </c>
      <c r="I46" s="28"/>
      <c r="J46" s="263">
        <f>+'GS 50-4999 (60kW)'!$J$46</f>
        <v>2.7740999999999998</v>
      </c>
      <c r="K46" s="290">
        <f>+G46</f>
        <v>100</v>
      </c>
      <c r="L46" s="27">
        <f>K46*J46</f>
        <v>277.40999999999997</v>
      </c>
      <c r="M46" s="28"/>
      <c r="N46" s="31">
        <f t="shared" si="2"/>
        <v>-6.8000000000000114</v>
      </c>
      <c r="O46" s="32">
        <f t="shared" si="8"/>
        <v>-2.3925970233278252E-2</v>
      </c>
    </row>
    <row r="47" spans="2:1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</v>
      </c>
      <c r="H47" s="27">
        <f>G47*F47</f>
        <v>81.650000000000006</v>
      </c>
      <c r="I47" s="28"/>
      <c r="J47" s="29">
        <f>+'GS 50-4999 (60kW)'!$J$47</f>
        <v>0.80359999999999998</v>
      </c>
      <c r="K47" s="290">
        <f>K46</f>
        <v>100</v>
      </c>
      <c r="L47" s="27">
        <f>K47*J47</f>
        <v>80.36</v>
      </c>
      <c r="M47" s="28"/>
      <c r="N47" s="31">
        <f t="shared" si="2"/>
        <v>-1.2900000000000063</v>
      </c>
      <c r="O47" s="32">
        <f t="shared" si="8"/>
        <v>-1.5799142682180113E-2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1046.6400000000001</v>
      </c>
      <c r="I48" s="61"/>
      <c r="J48" s="62"/>
      <c r="K48" s="63"/>
      <c r="L48" s="54">
        <f>SUM(L45:L47)</f>
        <v>1339.4829526296978</v>
      </c>
      <c r="M48" s="61"/>
      <c r="N48" s="44">
        <f t="shared" si="2"/>
        <v>292.84295262969772</v>
      </c>
      <c r="O48" s="45">
        <f t="shared" si="8"/>
        <v>0.27979338896821992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41616</v>
      </c>
      <c r="H49" s="66">
        <f t="shared" ref="H49:H55" si="9">G49*F49</f>
        <v>183.1104</v>
      </c>
      <c r="I49" s="28"/>
      <c r="J49" s="263">
        <f>+'GS 50-4999 (60kW)'!$J$49</f>
        <v>4.4000000000000003E-3</v>
      </c>
      <c r="K49" s="290">
        <f>F16*(1+J72)</f>
        <v>41448</v>
      </c>
      <c r="L49" s="66">
        <f t="shared" ref="L49:L55" si="10">K49*J49</f>
        <v>182.37120000000002</v>
      </c>
      <c r="M49" s="28"/>
      <c r="N49" s="31">
        <f t="shared" si="2"/>
        <v>-0.73919999999998254</v>
      </c>
      <c r="O49" s="68">
        <f t="shared" si="8"/>
        <v>-4.0369088811994429E-3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41616</v>
      </c>
      <c r="H50" s="66">
        <f t="shared" si="9"/>
        <v>54.1008</v>
      </c>
      <c r="I50" s="28"/>
      <c r="J50" s="263">
        <f>+'GS 50-4999 (60kW)'!$J$50</f>
        <v>1.2999999999999999E-3</v>
      </c>
      <c r="K50" s="290">
        <f>K49</f>
        <v>41448</v>
      </c>
      <c r="L50" s="66">
        <f t="shared" si="10"/>
        <v>53.882399999999997</v>
      </c>
      <c r="M50" s="28"/>
      <c r="N50" s="31">
        <f t="shared" si="2"/>
        <v>-0.21840000000000259</v>
      </c>
      <c r="O50" s="68">
        <f t="shared" si="8"/>
        <v>-4.0369088811995869E-3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</v>
      </c>
      <c r="H52" s="66">
        <f t="shared" si="9"/>
        <v>280</v>
      </c>
      <c r="I52" s="28"/>
      <c r="J52" s="263">
        <f>+'GS 50-4999 (60kW)'!$J$52</f>
        <v>7.0000000000000001E-3</v>
      </c>
      <c r="K52" s="70">
        <f>F16</f>
        <v>40000</v>
      </c>
      <c r="L52" s="66">
        <f t="shared" si="10"/>
        <v>280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(60kW)'!$F$53</f>
        <v>9.5519999999999994E-2</v>
      </c>
      <c r="G53" s="69">
        <f>F16</f>
        <v>40000</v>
      </c>
      <c r="H53" s="66">
        <f t="shared" si="9"/>
        <v>3820.7999999999997</v>
      </c>
      <c r="I53" s="28"/>
      <c r="J53" s="263">
        <f>+'GS 50-4999 (60kW)'!$J$53</f>
        <v>9.5519999999999994E-2</v>
      </c>
      <c r="K53" s="69">
        <f>G53</f>
        <v>40000</v>
      </c>
      <c r="L53" s="66">
        <f t="shared" si="10"/>
        <v>3820.7999999999997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5384.9012000000002</v>
      </c>
      <c r="I59" s="95"/>
      <c r="J59" s="96"/>
      <c r="K59" s="96"/>
      <c r="L59" s="94">
        <f>SUM(L49:L55,L48)</f>
        <v>5676.7865526296973</v>
      </c>
      <c r="M59" s="97"/>
      <c r="N59" s="98">
        <f>L59-H59</f>
        <v>291.88535262969708</v>
      </c>
      <c r="O59" s="99">
        <f>IF((H59)=0,"",(N59/H59))</f>
        <v>5.4204402604396358E-2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700.0371560000001</v>
      </c>
      <c r="I60" s="104"/>
      <c r="J60" s="105">
        <v>0.13</v>
      </c>
      <c r="K60" s="104"/>
      <c r="L60" s="106">
        <f>L59*J60</f>
        <v>737.98225184186072</v>
      </c>
      <c r="M60" s="107"/>
      <c r="N60" s="108">
        <f t="shared" si="2"/>
        <v>37.945095841860621</v>
      </c>
      <c r="O60" s="109">
        <f t="shared" si="8"/>
        <v>5.4204402604396351E-2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6084.9383560000006</v>
      </c>
      <c r="I61" s="104"/>
      <c r="J61" s="104"/>
      <c r="K61" s="104"/>
      <c r="L61" s="106">
        <f>L59+L60</f>
        <v>6414.7688044715578</v>
      </c>
      <c r="M61" s="107"/>
      <c r="N61" s="108">
        <f t="shared" si="2"/>
        <v>329.83044847155725</v>
      </c>
      <c r="O61" s="109">
        <f t="shared" si="8"/>
        <v>5.4204402604396282E-2</v>
      </c>
      <c r="S61" s="72"/>
    </row>
    <row r="62" spans="2:19" ht="15.75" hidden="1" customHeight="1" x14ac:dyDescent="0.25">
      <c r="B62" s="367" t="s">
        <v>43</v>
      </c>
      <c r="C62" s="367"/>
      <c r="D62" s="367"/>
      <c r="E62" s="22"/>
      <c r="F62" s="111"/>
      <c r="G62" s="102"/>
      <c r="H62" s="112">
        <f>ROUND(-H61*10%,2)</f>
        <v>-608.49</v>
      </c>
      <c r="I62" s="104"/>
      <c r="J62" s="104"/>
      <c r="K62" s="104"/>
      <c r="L62" s="113">
        <f>ROUND(-L61*10%,2)</f>
        <v>-641.48</v>
      </c>
      <c r="M62" s="107"/>
      <c r="N62" s="114">
        <f t="shared" si="2"/>
        <v>-32.990000000000009</v>
      </c>
      <c r="O62" s="115">
        <f t="shared" si="8"/>
        <v>5.4216174464658429E-2</v>
      </c>
    </row>
    <row r="63" spans="2:19" ht="15" hidden="1" x14ac:dyDescent="0.25">
      <c r="B63" s="364" t="s">
        <v>44</v>
      </c>
      <c r="C63" s="364"/>
      <c r="D63" s="364"/>
      <c r="E63" s="116"/>
      <c r="F63" s="117"/>
      <c r="G63" s="118"/>
      <c r="H63" s="119">
        <f>H61+H62</f>
        <v>5476.4483560000008</v>
      </c>
      <c r="I63" s="120"/>
      <c r="J63" s="120"/>
      <c r="K63" s="120"/>
      <c r="L63" s="121">
        <f>L61+L62</f>
        <v>5773.2888044715583</v>
      </c>
      <c r="M63" s="122"/>
      <c r="N63" s="123">
        <f t="shared" si="2"/>
        <v>296.84044847155747</v>
      </c>
      <c r="O63" s="124">
        <f t="shared" si="8"/>
        <v>5.4203094629083619E-2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5384.9011999999993</v>
      </c>
      <c r="I65" s="136"/>
      <c r="J65" s="137"/>
      <c r="K65" s="137"/>
      <c r="L65" s="189">
        <f>SUM(L53,L48,L49:L52)</f>
        <v>5676.7865526296973</v>
      </c>
      <c r="M65" s="138"/>
      <c r="N65" s="139">
        <f>L65-H65</f>
        <v>291.88535262969799</v>
      </c>
      <c r="O65" s="99">
        <f>IF((H65)=0,"",(N65/H65))</f>
        <v>5.4204402604396532E-2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700.03715599999998</v>
      </c>
      <c r="I66" s="143"/>
      <c r="J66" s="144">
        <v>0.13</v>
      </c>
      <c r="K66" s="145"/>
      <c r="L66" s="146">
        <f>L65*J66</f>
        <v>737.98225184186072</v>
      </c>
      <c r="M66" s="147"/>
      <c r="N66" s="148">
        <f>L66-H66</f>
        <v>37.945095841860734</v>
      </c>
      <c r="O66" s="109">
        <f>IF((H66)=0,"",(N66/H66))</f>
        <v>5.4204402604396525E-2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6084.9383559999997</v>
      </c>
      <c r="I67" s="143"/>
      <c r="J67" s="143"/>
      <c r="K67" s="143"/>
      <c r="L67" s="146">
        <f>L65+L66</f>
        <v>6414.7688044715578</v>
      </c>
      <c r="M67" s="147"/>
      <c r="N67" s="148">
        <f>L67-H67</f>
        <v>329.83044847155816</v>
      </c>
      <c r="O67" s="109">
        <f>IF((H67)=0,"",(N67/H67))</f>
        <v>5.4204402604396434E-2</v>
      </c>
    </row>
    <row r="68" spans="1:15" s="73" customFormat="1" ht="15.75" customHeight="1" x14ac:dyDescent="0.25">
      <c r="B68" s="368" t="s">
        <v>43</v>
      </c>
      <c r="C68" s="368"/>
      <c r="D68" s="368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6" t="s">
        <v>46</v>
      </c>
      <c r="C69" s="356"/>
      <c r="D69" s="356"/>
      <c r="E69" s="155"/>
      <c r="F69" s="156"/>
      <c r="G69" s="157"/>
      <c r="H69" s="158">
        <f>SUM(H67:H68)</f>
        <v>6084.9383559999997</v>
      </c>
      <c r="I69" s="159"/>
      <c r="J69" s="159"/>
      <c r="K69" s="159"/>
      <c r="L69" s="160">
        <f>SUM(L67:L68)</f>
        <v>6414.7688044715578</v>
      </c>
      <c r="M69" s="161"/>
      <c r="N69" s="162">
        <f>L69-H69</f>
        <v>329.83044847155816</v>
      </c>
      <c r="O69" s="163">
        <f>IF((H69)=0,"",(N69/H69))</f>
        <v>5.4204402604396434E-2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  <mergeCell ref="B69:D69"/>
    <mergeCell ref="D19:D20"/>
    <mergeCell ref="N19:N20"/>
    <mergeCell ref="O19:O20"/>
    <mergeCell ref="B62:D62"/>
    <mergeCell ref="B68:D68"/>
    <mergeCell ref="B63:D6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2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3.441406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1093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93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100000</v>
      </c>
      <c r="G16" s="13" t="s">
        <v>7</v>
      </c>
      <c r="H16" s="14">
        <v>250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15" x14ac:dyDescent="0.25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135.25</v>
      </c>
      <c r="K21" s="30">
        <v>1</v>
      </c>
      <c r="L21" s="27">
        <f>K21*J21</f>
        <v>135.25</v>
      </c>
      <c r="M21" s="28"/>
      <c r="N21" s="31">
        <f>L21-H21</f>
        <v>15.870000000000005</v>
      </c>
      <c r="O21" s="32">
        <f>IF((H21)=0,"",(N21/H21))</f>
        <v>0.13293684034176584</v>
      </c>
    </row>
    <row r="22" spans="2:15" ht="15" x14ac:dyDescent="0.25">
      <c r="B22" s="296" t="s">
        <v>90</v>
      </c>
      <c r="C22" s="22"/>
      <c r="D22" s="56" t="s">
        <v>70</v>
      </c>
      <c r="E22" s="24"/>
      <c r="F22" s="173"/>
      <c r="G22" s="179">
        <f>+$H$16</f>
        <v>250</v>
      </c>
      <c r="H22" s="27">
        <f t="shared" ref="H22:H36" si="0">G22*F22</f>
        <v>0</v>
      </c>
      <c r="I22" s="28"/>
      <c r="J22" s="29">
        <f>+'GS 50-4999 (60kW)'!$J$22</f>
        <v>0.16719999999999999</v>
      </c>
      <c r="K22" s="262">
        <f>+$H$16</f>
        <v>250</v>
      </c>
      <c r="L22" s="27">
        <f>K22*J22</f>
        <v>41.8</v>
      </c>
      <c r="M22" s="28"/>
      <c r="N22" s="31">
        <f>L22-H22</f>
        <v>41.8</v>
      </c>
      <c r="O22" s="32" t="str">
        <f>IF((H22)=0,"",(N22/H22))</f>
        <v/>
      </c>
    </row>
    <row r="23" spans="2:15" ht="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250</v>
      </c>
      <c r="H25" s="27">
        <f t="shared" si="0"/>
        <v>-2.4750000000000001</v>
      </c>
      <c r="I25" s="28"/>
      <c r="J25" s="29">
        <f>+'GS 50-4999 (60kW)'!$J$25</f>
        <v>0</v>
      </c>
      <c r="K25" s="179">
        <f>$H$16</f>
        <v>250</v>
      </c>
      <c r="L25" s="27">
        <f t="shared" si="1"/>
        <v>0</v>
      </c>
      <c r="M25" s="28"/>
      <c r="N25" s="31">
        <f t="shared" si="2"/>
        <v>2.4750000000000001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250</v>
      </c>
      <c r="H26" s="27">
        <f t="shared" si="0"/>
        <v>0</v>
      </c>
      <c r="I26" s="28"/>
      <c r="J26" s="29">
        <f>+'GS 50-4999 (60kW)'!$J$26</f>
        <v>-0.24005098703195524</v>
      </c>
      <c r="K26" s="179">
        <f>$H$16</f>
        <v>250</v>
      </c>
      <c r="L26" s="27">
        <f t="shared" si="1"/>
        <v>-60.012746757988808</v>
      </c>
      <c r="M26" s="28"/>
      <c r="N26" s="31">
        <f t="shared" si="2"/>
        <v>-60.012746757988808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250</v>
      </c>
      <c r="H27" s="27">
        <f t="shared" si="0"/>
        <v>1184.875</v>
      </c>
      <c r="I27" s="28"/>
      <c r="J27" s="29">
        <f>+'GS 50-4999 (60kW)'!$J$27</f>
        <v>5.3209</v>
      </c>
      <c r="K27" s="179">
        <f>$H$16</f>
        <v>250</v>
      </c>
      <c r="L27" s="27">
        <f t="shared" si="1"/>
        <v>1330.2249999999999</v>
      </c>
      <c r="M27" s="28"/>
      <c r="N27" s="31">
        <f t="shared" si="2"/>
        <v>145.34999999999991</v>
      </c>
      <c r="O27" s="32">
        <f t="shared" si="3"/>
        <v>0.12267116784470929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100000</v>
      </c>
      <c r="H28" s="27">
        <f t="shared" si="0"/>
        <v>0</v>
      </c>
      <c r="I28" s="28"/>
      <c r="J28" s="29"/>
      <c r="K28" s="26">
        <f t="shared" ref="K28:K36" si="4">$F$16</f>
        <v>100000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100000</v>
      </c>
      <c r="H29" s="27">
        <f t="shared" si="0"/>
        <v>0</v>
      </c>
      <c r="I29" s="28"/>
      <c r="J29" s="29"/>
      <c r="K29" s="26">
        <f t="shared" si="4"/>
        <v>100000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100000</v>
      </c>
      <c r="H30" s="27">
        <f t="shared" si="0"/>
        <v>0</v>
      </c>
      <c r="I30" s="28"/>
      <c r="J30" s="29"/>
      <c r="K30" s="26">
        <f t="shared" si="4"/>
        <v>100000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100000</v>
      </c>
      <c r="H31" s="27">
        <f t="shared" si="0"/>
        <v>0</v>
      </c>
      <c r="I31" s="28"/>
      <c r="J31" s="29"/>
      <c r="K31" s="26">
        <f t="shared" si="4"/>
        <v>100000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100000</v>
      </c>
      <c r="H32" s="27">
        <f t="shared" si="0"/>
        <v>0</v>
      </c>
      <c r="I32" s="28"/>
      <c r="J32" s="29"/>
      <c r="K32" s="26">
        <f t="shared" si="4"/>
        <v>100000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ht="15" hidden="1" x14ac:dyDescent="0.25">
      <c r="B33" s="33"/>
      <c r="C33" s="22"/>
      <c r="D33" s="23"/>
      <c r="E33" s="24"/>
      <c r="F33" s="25"/>
      <c r="G33" s="26">
        <f t="shared" si="5"/>
        <v>100000</v>
      </c>
      <c r="H33" s="27">
        <f t="shared" si="0"/>
        <v>0</v>
      </c>
      <c r="I33" s="28"/>
      <c r="J33" s="29"/>
      <c r="K33" s="26">
        <f t="shared" si="4"/>
        <v>100000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ht="15" hidden="1" x14ac:dyDescent="0.25">
      <c r="B34" s="33"/>
      <c r="C34" s="22"/>
      <c r="D34" s="23"/>
      <c r="E34" s="24"/>
      <c r="F34" s="25"/>
      <c r="G34" s="26">
        <f t="shared" si="5"/>
        <v>100000</v>
      </c>
      <c r="H34" s="27">
        <f t="shared" si="0"/>
        <v>0</v>
      </c>
      <c r="I34" s="28"/>
      <c r="J34" s="29"/>
      <c r="K34" s="26">
        <f t="shared" si="4"/>
        <v>100000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ht="15" hidden="1" x14ac:dyDescent="0.25">
      <c r="B35" s="33"/>
      <c r="C35" s="22"/>
      <c r="D35" s="23"/>
      <c r="E35" s="24"/>
      <c r="F35" s="25"/>
      <c r="G35" s="26">
        <f t="shared" si="5"/>
        <v>100000</v>
      </c>
      <c r="H35" s="27">
        <f t="shared" si="0"/>
        <v>0</v>
      </c>
      <c r="I35" s="28"/>
      <c r="J35" s="29"/>
      <c r="K35" s="26">
        <f t="shared" si="4"/>
        <v>100000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ht="15" hidden="1" x14ac:dyDescent="0.25">
      <c r="B36" s="33"/>
      <c r="C36" s="22"/>
      <c r="D36" s="23"/>
      <c r="E36" s="24"/>
      <c r="F36" s="25"/>
      <c r="G36" s="26">
        <f t="shared" si="5"/>
        <v>100000</v>
      </c>
      <c r="H36" s="27">
        <f t="shared" si="0"/>
        <v>0</v>
      </c>
      <c r="I36" s="28"/>
      <c r="J36" s="29"/>
      <c r="K36" s="26">
        <f t="shared" si="4"/>
        <v>100000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1301.78</v>
      </c>
      <c r="I37" s="41"/>
      <c r="J37" s="42"/>
      <c r="K37" s="43"/>
      <c r="L37" s="40">
        <f>SUM(L21:L36)</f>
        <v>1447.2622532420112</v>
      </c>
      <c r="M37" s="41"/>
      <c r="N37" s="44">
        <f t="shared" si="2"/>
        <v>145.48225324201121</v>
      </c>
      <c r="O37" s="45">
        <f t="shared" si="3"/>
        <v>0.11175640526203445</v>
      </c>
    </row>
    <row r="38" spans="2:17" ht="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250</v>
      </c>
      <c r="H38" s="27">
        <f t="shared" ref="H38:H44" si="6">G38*F38</f>
        <v>-162.55000000000001</v>
      </c>
      <c r="I38" s="28"/>
      <c r="J38" s="29">
        <f>+'GS 50-4999 (60kW)'!$J$38</f>
        <v>0.78958051332893586</v>
      </c>
      <c r="K38" s="179">
        <f>H16</f>
        <v>250</v>
      </c>
      <c r="L38" s="27">
        <f t="shared" ref="L38:L44" si="7">K38*J38</f>
        <v>197.39512833223395</v>
      </c>
      <c r="M38" s="28"/>
      <c r="N38" s="31">
        <f t="shared" si="2"/>
        <v>359.94512833223393</v>
      </c>
      <c r="O38" s="32">
        <f t="shared" si="3"/>
        <v>-2.2143656003213406</v>
      </c>
    </row>
    <row r="39" spans="2:17" ht="15" x14ac:dyDescent="0.25">
      <c r="B39" s="296"/>
      <c r="C39" s="22"/>
      <c r="D39" s="23" t="s">
        <v>70</v>
      </c>
      <c r="E39" s="24"/>
      <c r="F39" s="25"/>
      <c r="G39" s="179">
        <f>H16</f>
        <v>250</v>
      </c>
      <c r="H39" s="27">
        <f t="shared" si="6"/>
        <v>0</v>
      </c>
      <c r="I39" s="47"/>
      <c r="J39" s="29"/>
      <c r="K39" s="179">
        <f>H16</f>
        <v>250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7" ht="15" hidden="1" x14ac:dyDescent="0.25">
      <c r="B40" s="296"/>
      <c r="C40" s="22"/>
      <c r="D40" s="23" t="s">
        <v>70</v>
      </c>
      <c r="E40" s="24"/>
      <c r="F40" s="25"/>
      <c r="G40" s="179">
        <f>H16</f>
        <v>250</v>
      </c>
      <c r="H40" s="27">
        <f t="shared" si="6"/>
        <v>0</v>
      </c>
      <c r="I40" s="47"/>
      <c r="J40" s="29"/>
      <c r="K40" s="179">
        <f>H16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7" ht="38.25" x14ac:dyDescent="0.25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250</v>
      </c>
      <c r="H41" s="27">
        <f t="shared" si="6"/>
        <v>66.875</v>
      </c>
      <c r="I41" s="47"/>
      <c r="J41" s="29">
        <f>+'GS 50-4999 (60kW)'!$J$41</f>
        <v>1.2659</v>
      </c>
      <c r="K41" s="179">
        <f>H16</f>
        <v>250</v>
      </c>
      <c r="L41" s="27">
        <f t="shared" si="7"/>
        <v>316.47500000000002</v>
      </c>
      <c r="M41" s="48"/>
      <c r="N41" s="31">
        <f t="shared" si="2"/>
        <v>249.60000000000002</v>
      </c>
      <c r="O41" s="32">
        <f t="shared" si="3"/>
        <v>3.7323364485981312</v>
      </c>
    </row>
    <row r="42" spans="2:17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250</v>
      </c>
      <c r="H42" s="27">
        <f t="shared" si="6"/>
        <v>13.775</v>
      </c>
      <c r="I42" s="28"/>
      <c r="J42" s="29">
        <f>+'GS 50-4999 (60kW)'!$J$42</f>
        <v>7.51E-2</v>
      </c>
      <c r="K42" s="179">
        <f>H16</f>
        <v>250</v>
      </c>
      <c r="L42" s="27">
        <f t="shared" si="7"/>
        <v>18.774999999999999</v>
      </c>
      <c r="M42" s="28"/>
      <c r="N42" s="31">
        <f t="shared" si="2"/>
        <v>4.9999999999999982</v>
      </c>
      <c r="O42" s="32">
        <f t="shared" si="3"/>
        <v>0.36297640653357516</v>
      </c>
    </row>
    <row r="43" spans="2:17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4040</v>
      </c>
      <c r="H43" s="184">
        <f t="shared" si="6"/>
        <v>303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3620</v>
      </c>
      <c r="L43" s="184">
        <f t="shared" si="7"/>
        <v>271.5</v>
      </c>
      <c r="M43" s="57"/>
      <c r="N43" s="186">
        <f t="shared" si="2"/>
        <v>-31.5</v>
      </c>
      <c r="O43" s="187">
        <f t="shared" si="3"/>
        <v>-0.10396039603960396</v>
      </c>
    </row>
    <row r="44" spans="2:17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7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1522.8799999999999</v>
      </c>
      <c r="I45" s="41"/>
      <c r="J45" s="53"/>
      <c r="K45" s="55"/>
      <c r="L45" s="54">
        <f>SUM(L38:L44)+L37</f>
        <v>2251.4073815742449</v>
      </c>
      <c r="M45" s="41"/>
      <c r="N45" s="44">
        <f t="shared" si="2"/>
        <v>728.52738157424506</v>
      </c>
      <c r="O45" s="45">
        <f t="shared" ref="O45:O63" si="8">IF((H45)=0,"",(N45/H45))</f>
        <v>0.47838791078367637</v>
      </c>
    </row>
    <row r="46" spans="2:17" x14ac:dyDescent="0.3">
      <c r="B46" s="28" t="s">
        <v>28</v>
      </c>
      <c r="C46" s="28"/>
      <c r="D46" s="56" t="s">
        <v>70</v>
      </c>
      <c r="E46" s="57"/>
      <c r="F46" s="29">
        <f>+'GS 50-4999 (60kW)'!F46</f>
        <v>2.8420999999999998</v>
      </c>
      <c r="G46" s="289">
        <f>H16</f>
        <v>250</v>
      </c>
      <c r="H46" s="27">
        <f>G46*F46</f>
        <v>710.52499999999998</v>
      </c>
      <c r="I46" s="28"/>
      <c r="J46" s="29">
        <f>+'GS 50-4999 (60kW)'!$J$46</f>
        <v>2.7740999999999998</v>
      </c>
      <c r="K46" s="290">
        <f>+G46</f>
        <v>250</v>
      </c>
      <c r="L46" s="27">
        <f>K46*J46</f>
        <v>693.52499999999998</v>
      </c>
      <c r="M46" s="28"/>
      <c r="N46" s="31">
        <f t="shared" si="2"/>
        <v>-17</v>
      </c>
      <c r="O46" s="32">
        <f t="shared" si="8"/>
        <v>-2.3925970233278211E-2</v>
      </c>
      <c r="P46" s="34"/>
      <c r="Q46" s="34"/>
    </row>
    <row r="47" spans="2:17" x14ac:dyDescent="0.3">
      <c r="B47" s="59" t="s">
        <v>29</v>
      </c>
      <c r="C47" s="28"/>
      <c r="D47" s="56" t="s">
        <v>70</v>
      </c>
      <c r="E47" s="57"/>
      <c r="F47" s="29">
        <f>+'GS 50-4999 (60kW)'!F47</f>
        <v>0.8165</v>
      </c>
      <c r="G47" s="289">
        <f>G46</f>
        <v>250</v>
      </c>
      <c r="H47" s="27">
        <f>G47*F47</f>
        <v>204.125</v>
      </c>
      <c r="I47" s="28"/>
      <c r="J47" s="29">
        <f>+'GS 50-4999 (60kW)'!$J$47</f>
        <v>0.80359999999999998</v>
      </c>
      <c r="K47" s="290">
        <f>K46</f>
        <v>250</v>
      </c>
      <c r="L47" s="27">
        <f>K47*J47</f>
        <v>200.9</v>
      </c>
      <c r="M47" s="28"/>
      <c r="N47" s="31">
        <f t="shared" si="2"/>
        <v>-3.2249999999999943</v>
      </c>
      <c r="O47" s="32">
        <f t="shared" si="8"/>
        <v>-1.5799142682180009E-2</v>
      </c>
      <c r="P47" s="34"/>
      <c r="Q47" s="34"/>
    </row>
    <row r="48" spans="2:17" x14ac:dyDescent="0.3">
      <c r="B48" s="50" t="s">
        <v>30</v>
      </c>
      <c r="C48" s="36"/>
      <c r="D48" s="36"/>
      <c r="E48" s="36"/>
      <c r="F48" s="60"/>
      <c r="G48" s="53"/>
      <c r="H48" s="54">
        <f>SUM(H45:H47)</f>
        <v>2437.5299999999997</v>
      </c>
      <c r="I48" s="61"/>
      <c r="J48" s="62"/>
      <c r="K48" s="63"/>
      <c r="L48" s="54">
        <f>SUM(L45:L47)</f>
        <v>3145.8323815742451</v>
      </c>
      <c r="M48" s="61"/>
      <c r="N48" s="44">
        <f t="shared" si="2"/>
        <v>708.30238157424537</v>
      </c>
      <c r="O48" s="45">
        <f t="shared" si="8"/>
        <v>0.29058201604667244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104040</v>
      </c>
      <c r="H49" s="66">
        <f t="shared" ref="H49:H55" si="9">G49*F49</f>
        <v>457.77600000000001</v>
      </c>
      <c r="I49" s="28"/>
      <c r="J49" s="263">
        <f>+'GS 50-4999 (60kW)'!$J$49</f>
        <v>4.4000000000000003E-3</v>
      </c>
      <c r="K49" s="290">
        <f>F16*(1+J72)</f>
        <v>103620</v>
      </c>
      <c r="L49" s="66">
        <f t="shared" ref="L49:L55" si="10">K49*J49</f>
        <v>455.92800000000005</v>
      </c>
      <c r="M49" s="28"/>
      <c r="N49" s="31">
        <f t="shared" si="2"/>
        <v>-1.8479999999999563</v>
      </c>
      <c r="O49" s="68">
        <f t="shared" si="8"/>
        <v>-4.0369088811994429E-3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104040</v>
      </c>
      <c r="H50" s="66">
        <f t="shared" si="9"/>
        <v>135.25199999999998</v>
      </c>
      <c r="I50" s="28"/>
      <c r="J50" s="263">
        <f>+'GS 50-4999 (60kW)'!$J$50</f>
        <v>1.2999999999999999E-3</v>
      </c>
      <c r="K50" s="290">
        <f>K49</f>
        <v>103620</v>
      </c>
      <c r="L50" s="66">
        <f t="shared" si="10"/>
        <v>134.70599999999999</v>
      </c>
      <c r="M50" s="28"/>
      <c r="N50" s="31">
        <f t="shared" si="2"/>
        <v>-0.54599999999999227</v>
      </c>
      <c r="O50" s="68">
        <f t="shared" si="8"/>
        <v>-4.0369088811994819E-3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2" t="s">
        <v>34</v>
      </c>
      <c r="C52" s="22"/>
      <c r="D52" s="23" t="s">
        <v>61</v>
      </c>
      <c r="E52" s="24"/>
      <c r="F52" s="65">
        <v>7.0000000000000001E-3</v>
      </c>
      <c r="G52" s="69">
        <f>F16</f>
        <v>100000</v>
      </c>
      <c r="H52" s="66">
        <f t="shared" si="9"/>
        <v>700</v>
      </c>
      <c r="I52" s="28"/>
      <c r="J52" s="263">
        <f>+'GS 50-4999 (60kW)'!$J$52</f>
        <v>7.0000000000000001E-3</v>
      </c>
      <c r="K52" s="70">
        <f>F16</f>
        <v>100000</v>
      </c>
      <c r="L52" s="66">
        <f t="shared" si="10"/>
        <v>700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100000</v>
      </c>
      <c r="H53" s="66">
        <f t="shared" si="9"/>
        <v>9552</v>
      </c>
      <c r="I53" s="28"/>
      <c r="J53" s="263">
        <f>+'GS 50-4999 (60kW)'!$J$53</f>
        <v>9.5519999999999994E-2</v>
      </c>
      <c r="K53" s="69">
        <f>G53</f>
        <v>100000</v>
      </c>
      <c r="L53" s="66">
        <f t="shared" si="10"/>
        <v>9552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13282.808000000001</v>
      </c>
      <c r="I59" s="95"/>
      <c r="J59" s="96"/>
      <c r="K59" s="96"/>
      <c r="L59" s="94">
        <f>SUM(L49:L55,L48)</f>
        <v>13988.716381574246</v>
      </c>
      <c r="M59" s="97"/>
      <c r="N59" s="98">
        <f>L59-H59</f>
        <v>705.90838157424514</v>
      </c>
      <c r="O59" s="99">
        <f>IF((H59)=0,"",(N59/H59))</f>
        <v>5.3144514441091452E-2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1726.7650400000002</v>
      </c>
      <c r="I60" s="104"/>
      <c r="J60" s="105">
        <v>0.13</v>
      </c>
      <c r="K60" s="104"/>
      <c r="L60" s="106">
        <f>L59*J60</f>
        <v>1818.533129604652</v>
      </c>
      <c r="M60" s="107"/>
      <c r="N60" s="108">
        <f t="shared" si="2"/>
        <v>91.768089604651777</v>
      </c>
      <c r="O60" s="109">
        <f t="shared" si="8"/>
        <v>5.3144514441091396E-2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15009.573040000001</v>
      </c>
      <c r="I61" s="104"/>
      <c r="J61" s="104"/>
      <c r="K61" s="104"/>
      <c r="L61" s="106">
        <f>L59+L60</f>
        <v>15807.249511178898</v>
      </c>
      <c r="M61" s="107"/>
      <c r="N61" s="108">
        <f t="shared" si="2"/>
        <v>797.67647117889646</v>
      </c>
      <c r="O61" s="109">
        <f t="shared" si="8"/>
        <v>5.3144514441091417E-2</v>
      </c>
      <c r="S61" s="72"/>
    </row>
    <row r="62" spans="2:19" ht="15" hidden="1" x14ac:dyDescent="0.25">
      <c r="B62" s="367" t="s">
        <v>43</v>
      </c>
      <c r="C62" s="367"/>
      <c r="D62" s="367"/>
      <c r="E62" s="22"/>
      <c r="F62" s="111"/>
      <c r="G62" s="102"/>
      <c r="H62" s="112">
        <f>ROUND(-H61*10%,2)</f>
        <v>-1500.96</v>
      </c>
      <c r="I62" s="104"/>
      <c r="J62" s="104"/>
      <c r="K62" s="104"/>
      <c r="L62" s="113">
        <f>ROUND(-L61*10%,2)</f>
        <v>-1580.72</v>
      </c>
      <c r="M62" s="107"/>
      <c r="N62" s="114">
        <f t="shared" si="2"/>
        <v>-79.759999999999991</v>
      </c>
      <c r="O62" s="115">
        <f t="shared" si="8"/>
        <v>5.3139324165867169E-2</v>
      </c>
    </row>
    <row r="63" spans="2:19" ht="15.75" hidden="1" thickBot="1" x14ac:dyDescent="0.3">
      <c r="B63" s="364" t="s">
        <v>44</v>
      </c>
      <c r="C63" s="364"/>
      <c r="D63" s="364"/>
      <c r="E63" s="116"/>
      <c r="F63" s="117"/>
      <c r="G63" s="118"/>
      <c r="H63" s="119">
        <f>H61+H62</f>
        <v>13508.61304</v>
      </c>
      <c r="I63" s="120"/>
      <c r="J63" s="120"/>
      <c r="K63" s="120"/>
      <c r="L63" s="121">
        <f>L61+L62</f>
        <v>14226.529511178898</v>
      </c>
      <c r="M63" s="122"/>
      <c r="N63" s="123">
        <f t="shared" si="2"/>
        <v>717.91647117889806</v>
      </c>
      <c r="O63" s="124">
        <f t="shared" si="8"/>
        <v>5.3145091139489627E-2</v>
      </c>
    </row>
    <row r="64" spans="2:19" s="73" customFormat="1" ht="15.75" hidden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13282.807999999999</v>
      </c>
      <c r="I65" s="136"/>
      <c r="J65" s="137"/>
      <c r="K65" s="137"/>
      <c r="L65" s="189">
        <f>SUM(L53,L48,L49:L52)</f>
        <v>13988.716381574244</v>
      </c>
      <c r="M65" s="138"/>
      <c r="N65" s="139">
        <f>L65-H65</f>
        <v>705.90838157424514</v>
      </c>
      <c r="O65" s="99">
        <f>IF((H65)=0,"",(N65/H65))</f>
        <v>5.3144514441091459E-2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1726.76504</v>
      </c>
      <c r="I66" s="143"/>
      <c r="J66" s="144">
        <v>0.13</v>
      </c>
      <c r="K66" s="145"/>
      <c r="L66" s="146">
        <f>L65*J66</f>
        <v>1818.5331296046518</v>
      </c>
      <c r="M66" s="147"/>
      <c r="N66" s="148">
        <f>L66-H66</f>
        <v>91.768089604651777</v>
      </c>
      <c r="O66" s="109">
        <f>IF((H66)=0,"",(N66/H66))</f>
        <v>5.3144514441091403E-2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15009.573039999999</v>
      </c>
      <c r="I67" s="143"/>
      <c r="J67" s="143"/>
      <c r="K67" s="143"/>
      <c r="L67" s="146">
        <f>L65+L66</f>
        <v>15807.249511178896</v>
      </c>
      <c r="M67" s="147"/>
      <c r="N67" s="148">
        <f>L67-H67</f>
        <v>797.67647117889646</v>
      </c>
      <c r="O67" s="109">
        <f>IF((H67)=0,"",(N67/H67))</f>
        <v>5.3144514441091424E-2</v>
      </c>
    </row>
    <row r="68" spans="1:15" s="73" customFormat="1" ht="13.2" x14ac:dyDescent="0.25">
      <c r="B68" s="368" t="s">
        <v>43</v>
      </c>
      <c r="C68" s="368"/>
      <c r="D68" s="368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6" t="s">
        <v>46</v>
      </c>
      <c r="C69" s="356"/>
      <c r="D69" s="356"/>
      <c r="E69" s="155"/>
      <c r="F69" s="156"/>
      <c r="G69" s="157"/>
      <c r="H69" s="158">
        <f>SUM(H67:H68)</f>
        <v>15009.573039999999</v>
      </c>
      <c r="I69" s="159"/>
      <c r="J69" s="159"/>
      <c r="K69" s="159"/>
      <c r="L69" s="160">
        <f>SUM(L67:L68)</f>
        <v>15807.249511178896</v>
      </c>
      <c r="M69" s="161"/>
      <c r="N69" s="162">
        <f>L69-H69</f>
        <v>797.67647117889646</v>
      </c>
      <c r="O69" s="163">
        <f>IF((H69)=0,"",(N69/H69))</f>
        <v>5.3144514441091424E-2</v>
      </c>
    </row>
    <row r="70" spans="1:15" s="73" customFormat="1" ht="15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ht="16.2" x14ac:dyDescent="0.3">
      <c r="A74" s="171" t="s">
        <v>48</v>
      </c>
    </row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5:O5"/>
    <mergeCell ref="B8:O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44" orientation="portrait" verticalDpi="4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2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2.5546875" style="7" bestFit="1" customWidth="1"/>
    <col min="13" max="13" width="2.88671875" style="7" customWidth="1"/>
    <col min="14" max="14" width="12.6640625" style="7" bestFit="1" customWidth="1"/>
    <col min="15" max="15" width="13.1093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51">
        <v>42125</v>
      </c>
      <c r="O5" s="351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93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200000</v>
      </c>
      <c r="G16" s="13" t="s">
        <v>7</v>
      </c>
      <c r="H16" s="14">
        <v>500</v>
      </c>
      <c r="I16" s="13" t="s">
        <v>69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135.25</v>
      </c>
      <c r="K21" s="30">
        <v>1</v>
      </c>
      <c r="L21" s="27">
        <f>K21*J21</f>
        <v>135.25</v>
      </c>
      <c r="M21" s="28"/>
      <c r="N21" s="31">
        <f>L21-H21</f>
        <v>15.870000000000005</v>
      </c>
      <c r="O21" s="32">
        <f>IF((H21)=0,"",(N21/H21))</f>
        <v>0.13293684034176584</v>
      </c>
    </row>
    <row r="22" spans="2:15" ht="36.75" customHeight="1" x14ac:dyDescent="0.25">
      <c r="B22" s="296" t="s">
        <v>90</v>
      </c>
      <c r="C22" s="22"/>
      <c r="D22" s="56" t="s">
        <v>70</v>
      </c>
      <c r="E22" s="24"/>
      <c r="F22" s="173"/>
      <c r="G22" s="179">
        <f>+$H$16</f>
        <v>500</v>
      </c>
      <c r="H22" s="27">
        <f t="shared" ref="H22:H36" si="0">G22*F22</f>
        <v>0</v>
      </c>
      <c r="I22" s="28"/>
      <c r="J22" s="29">
        <f>+'GS 50-4999 (60kW)'!$J$22</f>
        <v>0.16719999999999999</v>
      </c>
      <c r="K22" s="262">
        <f>+$H$16</f>
        <v>500</v>
      </c>
      <c r="L22" s="27">
        <f>K22*J22</f>
        <v>83.6</v>
      </c>
      <c r="M22" s="28"/>
      <c r="N22" s="31">
        <f>L22-H22</f>
        <v>83.6</v>
      </c>
      <c r="O22" s="32" t="str">
        <f>IF((H22)=0,"",(N22/H22))</f>
        <v/>
      </c>
    </row>
    <row r="23" spans="2:15" ht="15" hidden="1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5" hidden="1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500</v>
      </c>
      <c r="H25" s="27">
        <f t="shared" si="0"/>
        <v>-4.95</v>
      </c>
      <c r="I25" s="28"/>
      <c r="J25" s="29">
        <f>+'GS 50-4999 (60kW)'!$J$25</f>
        <v>0</v>
      </c>
      <c r="K25" s="179">
        <f>$H$16</f>
        <v>500</v>
      </c>
      <c r="L25" s="27">
        <f t="shared" si="1"/>
        <v>0</v>
      </c>
      <c r="M25" s="28"/>
      <c r="N25" s="31">
        <f t="shared" si="2"/>
        <v>4.95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500</v>
      </c>
      <c r="H26" s="27">
        <f t="shared" si="0"/>
        <v>0</v>
      </c>
      <c r="I26" s="28"/>
      <c r="J26" s="29">
        <f>+'GS 50-4999 (60kW)'!$J$26</f>
        <v>-0.24005098703195524</v>
      </c>
      <c r="K26" s="179">
        <f>$H$16</f>
        <v>500</v>
      </c>
      <c r="L26" s="27">
        <f t="shared" si="1"/>
        <v>-120.02549351597762</v>
      </c>
      <c r="M26" s="28"/>
      <c r="N26" s="31">
        <f t="shared" si="2"/>
        <v>-120.02549351597762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500</v>
      </c>
      <c r="H27" s="27">
        <f t="shared" si="0"/>
        <v>2369.75</v>
      </c>
      <c r="I27" s="28"/>
      <c r="J27" s="29">
        <f>+'GS 50-4999 (60kW)'!$J$27</f>
        <v>5.3209</v>
      </c>
      <c r="K27" s="179">
        <f>$H$16</f>
        <v>500</v>
      </c>
      <c r="L27" s="27">
        <f t="shared" si="1"/>
        <v>2660.45</v>
      </c>
      <c r="M27" s="28"/>
      <c r="N27" s="31">
        <f t="shared" si="2"/>
        <v>290.69999999999982</v>
      </c>
      <c r="O27" s="32">
        <f t="shared" si="3"/>
        <v>0.12267116784470929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200000</v>
      </c>
      <c r="H28" s="27">
        <f t="shared" si="0"/>
        <v>0</v>
      </c>
      <c r="I28" s="28"/>
      <c r="J28" s="29"/>
      <c r="K28" s="26">
        <f t="shared" ref="K28:K36" si="4">$F$16</f>
        <v>200000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200000</v>
      </c>
      <c r="H29" s="27">
        <f t="shared" si="0"/>
        <v>0</v>
      </c>
      <c r="I29" s="28"/>
      <c r="J29" s="29"/>
      <c r="K29" s="26">
        <f t="shared" si="4"/>
        <v>200000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200000</v>
      </c>
      <c r="H30" s="27">
        <f t="shared" si="0"/>
        <v>0</v>
      </c>
      <c r="I30" s="28"/>
      <c r="J30" s="29"/>
      <c r="K30" s="26">
        <f t="shared" si="4"/>
        <v>200000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200000</v>
      </c>
      <c r="H31" s="27">
        <f t="shared" si="0"/>
        <v>0</v>
      </c>
      <c r="I31" s="28"/>
      <c r="J31" s="29"/>
      <c r="K31" s="26">
        <f t="shared" si="4"/>
        <v>200000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200000</v>
      </c>
      <c r="H32" s="27">
        <f t="shared" si="0"/>
        <v>0</v>
      </c>
      <c r="I32" s="28"/>
      <c r="J32" s="29"/>
      <c r="K32" s="26">
        <f t="shared" si="4"/>
        <v>200000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200000</v>
      </c>
      <c r="H33" s="27">
        <f t="shared" si="0"/>
        <v>0</v>
      </c>
      <c r="I33" s="28"/>
      <c r="J33" s="29"/>
      <c r="K33" s="26">
        <f t="shared" si="4"/>
        <v>200000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200000</v>
      </c>
      <c r="H34" s="27">
        <f t="shared" si="0"/>
        <v>0</v>
      </c>
      <c r="I34" s="28"/>
      <c r="J34" s="29"/>
      <c r="K34" s="26">
        <f t="shared" si="4"/>
        <v>200000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200000</v>
      </c>
      <c r="H35" s="27">
        <f t="shared" si="0"/>
        <v>0</v>
      </c>
      <c r="I35" s="28"/>
      <c r="J35" s="29"/>
      <c r="K35" s="26">
        <f t="shared" si="4"/>
        <v>200000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200000</v>
      </c>
      <c r="H36" s="27">
        <f t="shared" si="0"/>
        <v>0</v>
      </c>
      <c r="I36" s="28"/>
      <c r="J36" s="29"/>
      <c r="K36" s="26">
        <f t="shared" si="4"/>
        <v>200000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2484.1799999999998</v>
      </c>
      <c r="I37" s="41"/>
      <c r="J37" s="42"/>
      <c r="K37" s="43"/>
      <c r="L37" s="40">
        <f>SUM(L21:L36)</f>
        <v>2759.2745064840224</v>
      </c>
      <c r="M37" s="41"/>
      <c r="N37" s="44">
        <f t="shared" si="2"/>
        <v>275.09450648402253</v>
      </c>
      <c r="O37" s="45">
        <f t="shared" si="3"/>
        <v>0.1107385561770977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500</v>
      </c>
      <c r="H38" s="27">
        <f t="shared" ref="H38:H44" si="6">G38*F38</f>
        <v>-325.10000000000002</v>
      </c>
      <c r="I38" s="28"/>
      <c r="J38" s="29">
        <f>+'GS 50-4999 (60kW)'!$J$38</f>
        <v>0.78958051332893586</v>
      </c>
      <c r="K38" s="179">
        <f>H16</f>
        <v>500</v>
      </c>
      <c r="L38" s="27">
        <f t="shared" ref="L38:L44" si="7">K38*J38</f>
        <v>394.7902566644679</v>
      </c>
      <c r="M38" s="28"/>
      <c r="N38" s="31">
        <f t="shared" si="2"/>
        <v>719.89025666446787</v>
      </c>
      <c r="O38" s="32">
        <f t="shared" si="3"/>
        <v>-2.2143656003213406</v>
      </c>
    </row>
    <row r="39" spans="2:15" ht="15" x14ac:dyDescent="0.25">
      <c r="B39" s="296"/>
      <c r="C39" s="22"/>
      <c r="D39" s="23" t="s">
        <v>70</v>
      </c>
      <c r="E39" s="24"/>
      <c r="F39" s="25"/>
      <c r="G39" s="179">
        <f>H16</f>
        <v>500</v>
      </c>
      <c r="H39" s="27">
        <f t="shared" si="6"/>
        <v>0</v>
      </c>
      <c r="I39" s="47"/>
      <c r="J39" s="29"/>
      <c r="K39" s="179">
        <f>H16</f>
        <v>500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5" hidden="1" x14ac:dyDescent="0.25">
      <c r="B40" s="296"/>
      <c r="C40" s="22"/>
      <c r="D40" s="23" t="s">
        <v>70</v>
      </c>
      <c r="E40" s="24"/>
      <c r="F40" s="25"/>
      <c r="G40" s="179">
        <f>H16</f>
        <v>500</v>
      </c>
      <c r="H40" s="27">
        <f t="shared" si="6"/>
        <v>0</v>
      </c>
      <c r="I40" s="47"/>
      <c r="J40" s="29"/>
      <c r="K40" s="179">
        <f>H16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500</v>
      </c>
      <c r="H41" s="27">
        <f t="shared" si="6"/>
        <v>133.75</v>
      </c>
      <c r="I41" s="47"/>
      <c r="J41" s="29">
        <f>+'GS 50-4999 (60kW)'!$J$41</f>
        <v>1.2659</v>
      </c>
      <c r="K41" s="179">
        <f>H16</f>
        <v>500</v>
      </c>
      <c r="L41" s="27">
        <f t="shared" si="7"/>
        <v>632.95000000000005</v>
      </c>
      <c r="M41" s="48"/>
      <c r="N41" s="31">
        <f t="shared" si="2"/>
        <v>499.20000000000005</v>
      </c>
      <c r="O41" s="32">
        <f t="shared" si="3"/>
        <v>3.7323364485981312</v>
      </c>
    </row>
    <row r="42" spans="2:15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500</v>
      </c>
      <c r="H42" s="27">
        <f t="shared" si="6"/>
        <v>27.55</v>
      </c>
      <c r="I42" s="28"/>
      <c r="J42" s="29">
        <f>+'GS 50-4999 (60kW)'!$J$42</f>
        <v>7.51E-2</v>
      </c>
      <c r="K42" s="179">
        <f>H16</f>
        <v>500</v>
      </c>
      <c r="L42" s="27">
        <f t="shared" si="7"/>
        <v>37.549999999999997</v>
      </c>
      <c r="M42" s="28"/>
      <c r="N42" s="31">
        <f t="shared" si="2"/>
        <v>9.9999999999999964</v>
      </c>
      <c r="O42" s="32">
        <f t="shared" si="3"/>
        <v>0.36297640653357516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8080</v>
      </c>
      <c r="H43" s="184">
        <f t="shared" si="6"/>
        <v>606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7240</v>
      </c>
      <c r="L43" s="184">
        <f t="shared" si="7"/>
        <v>543</v>
      </c>
      <c r="M43" s="57"/>
      <c r="N43" s="186">
        <f t="shared" si="2"/>
        <v>-63</v>
      </c>
      <c r="O43" s="187">
        <f t="shared" si="3"/>
        <v>-0.10396039603960396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2926.3799999999997</v>
      </c>
      <c r="I45" s="41"/>
      <c r="J45" s="53"/>
      <c r="K45" s="55"/>
      <c r="L45" s="54">
        <f>SUM(L38:L44)+L37</f>
        <v>4367.5647631484899</v>
      </c>
      <c r="M45" s="41"/>
      <c r="N45" s="44">
        <f t="shared" si="2"/>
        <v>1441.1847631484902</v>
      </c>
      <c r="O45" s="45">
        <f t="shared" ref="O45:O63" si="8">IF((H45)=0,"",(N45/H45))</f>
        <v>0.49248038981557091</v>
      </c>
    </row>
    <row r="46" spans="2:1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500</v>
      </c>
      <c r="H46" s="27">
        <f>G46*F46</f>
        <v>1421.05</v>
      </c>
      <c r="I46" s="28"/>
      <c r="J46" s="29">
        <f>+'GS 50-4999 (60kW)'!$J$46</f>
        <v>2.7740999999999998</v>
      </c>
      <c r="K46" s="290">
        <f>+G46</f>
        <v>500</v>
      </c>
      <c r="L46" s="27">
        <f>K46*J46</f>
        <v>1387.05</v>
      </c>
      <c r="M46" s="28"/>
      <c r="N46" s="31">
        <f t="shared" si="2"/>
        <v>-34</v>
      </c>
      <c r="O46" s="32">
        <f t="shared" si="8"/>
        <v>-2.3925970233278211E-2</v>
      </c>
    </row>
    <row r="47" spans="2:1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500</v>
      </c>
      <c r="H47" s="27">
        <f>G47*F47</f>
        <v>408.25</v>
      </c>
      <c r="I47" s="28"/>
      <c r="J47" s="29">
        <f>+'GS 50-4999 (60kW)'!$J$47</f>
        <v>0.80359999999999998</v>
      </c>
      <c r="K47" s="290">
        <f>K46</f>
        <v>500</v>
      </c>
      <c r="L47" s="27">
        <f>K47*J47</f>
        <v>401.8</v>
      </c>
      <c r="M47" s="28"/>
      <c r="N47" s="31">
        <f t="shared" si="2"/>
        <v>-6.4499999999999886</v>
      </c>
      <c r="O47" s="32">
        <f t="shared" si="8"/>
        <v>-1.5799142682180009E-2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4755.6799999999994</v>
      </c>
      <c r="I48" s="61"/>
      <c r="J48" s="62"/>
      <c r="K48" s="63"/>
      <c r="L48" s="54">
        <f>SUM(L45:L47)</f>
        <v>6156.4147631484902</v>
      </c>
      <c r="M48" s="61"/>
      <c r="N48" s="44">
        <f t="shared" si="2"/>
        <v>1400.7347631484909</v>
      </c>
      <c r="O48" s="45">
        <f t="shared" si="8"/>
        <v>0.29453932206298383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208080</v>
      </c>
      <c r="H49" s="66">
        <f t="shared" ref="H49:H55" si="9">G49*F49</f>
        <v>915.55200000000002</v>
      </c>
      <c r="I49" s="28"/>
      <c r="J49" s="263">
        <f>+'GS 50-4999 (60kW)'!$J$49</f>
        <v>4.4000000000000003E-3</v>
      </c>
      <c r="K49" s="290">
        <f>F16*(1+J72)</f>
        <v>207240</v>
      </c>
      <c r="L49" s="66">
        <f t="shared" ref="L49:L55" si="10">K49*J49</f>
        <v>911.85600000000011</v>
      </c>
      <c r="M49" s="28"/>
      <c r="N49" s="31">
        <f t="shared" si="2"/>
        <v>-3.6959999999999127</v>
      </c>
      <c r="O49" s="68">
        <f t="shared" si="8"/>
        <v>-4.0369088811994429E-3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208080</v>
      </c>
      <c r="H50" s="66">
        <f t="shared" si="9"/>
        <v>270.50399999999996</v>
      </c>
      <c r="I50" s="28"/>
      <c r="J50" s="263">
        <f>+'GS 50-4999 (60kW)'!$J$50</f>
        <v>1.2999999999999999E-3</v>
      </c>
      <c r="K50" s="290">
        <f>K49</f>
        <v>207240</v>
      </c>
      <c r="L50" s="66">
        <f t="shared" si="10"/>
        <v>269.41199999999998</v>
      </c>
      <c r="M50" s="28"/>
      <c r="N50" s="31">
        <f t="shared" si="2"/>
        <v>-1.0919999999999845</v>
      </c>
      <c r="O50" s="68">
        <f t="shared" si="8"/>
        <v>-4.0369088811994819E-3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200000</v>
      </c>
      <c r="H52" s="66">
        <f t="shared" si="9"/>
        <v>1400</v>
      </c>
      <c r="I52" s="28"/>
      <c r="J52" s="263">
        <f>+'GS 50-4999 (60kW)'!$J$52</f>
        <v>7.0000000000000001E-3</v>
      </c>
      <c r="K52" s="70">
        <f>F16</f>
        <v>200000</v>
      </c>
      <c r="L52" s="66">
        <f t="shared" si="10"/>
        <v>1400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(60kW)'!$F$53</f>
        <v>9.5519999999999994E-2</v>
      </c>
      <c r="G53" s="69">
        <f>F16</f>
        <v>200000</v>
      </c>
      <c r="H53" s="188">
        <f t="shared" si="9"/>
        <v>19104</v>
      </c>
      <c r="I53" s="57"/>
      <c r="J53" s="263">
        <f>+'GS 50-4999 (60kW)'!$J$53</f>
        <v>9.5519999999999994E-2</v>
      </c>
      <c r="K53" s="69">
        <f>G53</f>
        <v>200000</v>
      </c>
      <c r="L53" s="66">
        <f t="shared" si="10"/>
        <v>19104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9"/>
        <v>0</v>
      </c>
      <c r="I54" s="28"/>
      <c r="J54" s="65">
        <v>0.104</v>
      </c>
      <c r="K54" s="58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9"/>
        <v>0</v>
      </c>
      <c r="I55" s="28"/>
      <c r="J55" s="65">
        <v>0.124</v>
      </c>
      <c r="K55" s="58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26445.986000000001</v>
      </c>
      <c r="I59" s="95"/>
      <c r="J59" s="96"/>
      <c r="K59" s="96"/>
      <c r="L59" s="94">
        <f>SUM(L49:L55,L48)</f>
        <v>27841.932763148492</v>
      </c>
      <c r="M59" s="97"/>
      <c r="N59" s="98">
        <f>L59-H59</f>
        <v>1395.9467631484913</v>
      </c>
      <c r="O59" s="99">
        <f>IF((H59)=0,"",(N59/H59))</f>
        <v>5.27848257632932E-2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3437.9781800000001</v>
      </c>
      <c r="I60" s="104"/>
      <c r="J60" s="105">
        <v>0.13</v>
      </c>
      <c r="K60" s="104"/>
      <c r="L60" s="106">
        <f>L59*J60</f>
        <v>3619.4512592093042</v>
      </c>
      <c r="M60" s="107"/>
      <c r="N60" s="108">
        <f t="shared" si="2"/>
        <v>181.47307920930416</v>
      </c>
      <c r="O60" s="109">
        <f t="shared" si="8"/>
        <v>5.2784825763293283E-2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29883.964180000003</v>
      </c>
      <c r="I61" s="104"/>
      <c r="J61" s="104"/>
      <c r="K61" s="104"/>
      <c r="L61" s="106">
        <f>L59+L60</f>
        <v>31461.384022357797</v>
      </c>
      <c r="M61" s="107"/>
      <c r="N61" s="108">
        <f t="shared" si="2"/>
        <v>1577.4198423577946</v>
      </c>
      <c r="O61" s="109">
        <f t="shared" si="8"/>
        <v>5.2784825763293172E-2</v>
      </c>
      <c r="S61" s="72"/>
    </row>
    <row r="62" spans="2:19" ht="15.75" hidden="1" customHeight="1" x14ac:dyDescent="0.25">
      <c r="B62" s="367" t="s">
        <v>43</v>
      </c>
      <c r="C62" s="367"/>
      <c r="D62" s="367"/>
      <c r="E62" s="22"/>
      <c r="F62" s="111"/>
      <c r="G62" s="102"/>
      <c r="H62" s="112">
        <f>ROUND(-H61*10%,2)</f>
        <v>-2988.4</v>
      </c>
      <c r="I62" s="104"/>
      <c r="J62" s="104"/>
      <c r="K62" s="104"/>
      <c r="L62" s="113">
        <f>ROUND(-L61*10%,2)</f>
        <v>-3146.14</v>
      </c>
      <c r="M62" s="107"/>
      <c r="N62" s="114">
        <f t="shared" si="2"/>
        <v>-157.73999999999978</v>
      </c>
      <c r="O62" s="115">
        <f t="shared" si="8"/>
        <v>5.2784098514255043E-2</v>
      </c>
    </row>
    <row r="63" spans="2:19" ht="15.75" hidden="1" thickBot="1" x14ac:dyDescent="0.3">
      <c r="B63" s="364" t="s">
        <v>44</v>
      </c>
      <c r="C63" s="364"/>
      <c r="D63" s="364"/>
      <c r="E63" s="116"/>
      <c r="F63" s="117"/>
      <c r="G63" s="118"/>
      <c r="H63" s="119">
        <f>H61+H62</f>
        <v>26895.564180000001</v>
      </c>
      <c r="I63" s="120"/>
      <c r="J63" s="120"/>
      <c r="K63" s="120"/>
      <c r="L63" s="121">
        <f>L61+L62</f>
        <v>28315.244022357798</v>
      </c>
      <c r="M63" s="122"/>
      <c r="N63" s="123">
        <f t="shared" si="2"/>
        <v>1419.6798423577966</v>
      </c>
      <c r="O63" s="124">
        <f t="shared" si="8"/>
        <v>5.2784906568849543E-2</v>
      </c>
    </row>
    <row r="64" spans="2:19" s="73" customFormat="1" ht="8.25" hidden="1" customHeight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26445.986000000001</v>
      </c>
      <c r="I65" s="136"/>
      <c r="J65" s="137"/>
      <c r="K65" s="137"/>
      <c r="L65" s="189">
        <f>SUM(L53,L48,L49:L52)</f>
        <v>27841.932763148488</v>
      </c>
      <c r="M65" s="138"/>
      <c r="N65" s="139">
        <f>L65-H65</f>
        <v>1395.9467631484877</v>
      </c>
      <c r="O65" s="99">
        <f>IF((H65)=0,"",(N65/H65))</f>
        <v>5.2784825763293061E-2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3437.9781800000001</v>
      </c>
      <c r="I66" s="143"/>
      <c r="J66" s="144">
        <v>0.13</v>
      </c>
      <c r="K66" s="145"/>
      <c r="L66" s="146">
        <f>L65*J66</f>
        <v>3619.4512592093038</v>
      </c>
      <c r="M66" s="147"/>
      <c r="N66" s="148">
        <f>L66-H66</f>
        <v>181.47307920930371</v>
      </c>
      <c r="O66" s="109">
        <f>IF((H66)=0,"",(N66/H66))</f>
        <v>5.2784825763293151E-2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29883.964180000003</v>
      </c>
      <c r="I67" s="143"/>
      <c r="J67" s="143"/>
      <c r="K67" s="143"/>
      <c r="L67" s="146">
        <f>L65+L66</f>
        <v>31461.384022357794</v>
      </c>
      <c r="M67" s="147"/>
      <c r="N67" s="148">
        <f>L67-H67</f>
        <v>1577.4198423577909</v>
      </c>
      <c r="O67" s="109">
        <f>IF((H67)=0,"",(N67/H67))</f>
        <v>5.2784825763293054E-2</v>
      </c>
    </row>
    <row r="68" spans="1:15" s="73" customFormat="1" ht="15.75" customHeight="1" x14ac:dyDescent="0.25">
      <c r="B68" s="368" t="s">
        <v>43</v>
      </c>
      <c r="C68" s="368"/>
      <c r="D68" s="368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6" t="s">
        <v>46</v>
      </c>
      <c r="C69" s="356"/>
      <c r="D69" s="356"/>
      <c r="E69" s="155"/>
      <c r="F69" s="156"/>
      <c r="G69" s="157"/>
      <c r="H69" s="158">
        <f>SUM(H67:H68)</f>
        <v>29883.964180000003</v>
      </c>
      <c r="I69" s="159"/>
      <c r="J69" s="159"/>
      <c r="K69" s="159"/>
      <c r="L69" s="160">
        <f>SUM(L67:L68)</f>
        <v>31461.384022357794</v>
      </c>
      <c r="M69" s="161"/>
      <c r="N69" s="162">
        <f>L69-H69</f>
        <v>1577.4198423577909</v>
      </c>
      <c r="O69" s="163">
        <f>IF((H69)=0,"",(N69/H69))</f>
        <v>5.2784825763293054E-2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disablePrompts="1"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2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3.44140625" style="7" bestFit="1" customWidth="1"/>
    <col min="13" max="13" width="2.88671875" style="7" customWidth="1"/>
    <col min="14" max="14" width="12.6640625" style="7" bestFit="1" customWidth="1"/>
    <col min="15" max="15" width="12.886718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</row>
    <row r="4" spans="1:20" s="2" customFormat="1" ht="9" customHeight="1" x14ac:dyDescent="0.3">
      <c r="L4" s="3"/>
      <c r="N4" s="312"/>
      <c r="O4"/>
    </row>
    <row r="5" spans="1:20" s="2" customFormat="1" ht="15" customHeight="1" x14ac:dyDescent="0.3">
      <c r="L5" s="3" t="s">
        <v>76</v>
      </c>
      <c r="N5" s="351">
        <v>42125</v>
      </c>
      <c r="O5" s="351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93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400000</v>
      </c>
      <c r="G16" s="13" t="s">
        <v>7</v>
      </c>
      <c r="H16" s="14">
        <v>1000</v>
      </c>
      <c r="I16" s="13" t="s">
        <v>69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135.25</v>
      </c>
      <c r="K21" s="30">
        <v>1</v>
      </c>
      <c r="L21" s="27">
        <f>K21*J21</f>
        <v>135.25</v>
      </c>
      <c r="M21" s="28"/>
      <c r="N21" s="31">
        <f>L21-H21</f>
        <v>15.870000000000005</v>
      </c>
      <c r="O21" s="32">
        <f>IF((H21)=0,"",(N21/H21))</f>
        <v>0.13293684034176584</v>
      </c>
    </row>
    <row r="22" spans="2:15" ht="36.75" customHeight="1" x14ac:dyDescent="0.25">
      <c r="B22" s="296" t="s">
        <v>90</v>
      </c>
      <c r="C22" s="22"/>
      <c r="D22" s="56" t="s">
        <v>60</v>
      </c>
      <c r="E22" s="24"/>
      <c r="F22" s="173"/>
      <c r="G22" s="179">
        <f>+$H$16</f>
        <v>1000</v>
      </c>
      <c r="H22" s="27">
        <f t="shared" ref="H22:H36" si="0">G22*F22</f>
        <v>0</v>
      </c>
      <c r="I22" s="28"/>
      <c r="J22" s="29">
        <f>+'GS 50-4999 (60kW)'!$J$22</f>
        <v>0.16719999999999999</v>
      </c>
      <c r="K22" s="262">
        <f>+$H$16</f>
        <v>1000</v>
      </c>
      <c r="L22" s="27">
        <f>K22*J22</f>
        <v>167.2</v>
      </c>
      <c r="M22" s="28"/>
      <c r="N22" s="31">
        <f>L22-H22</f>
        <v>167.2</v>
      </c>
      <c r="O22" s="32" t="str">
        <f>IF((H22)=0,"",(N22/H22))</f>
        <v/>
      </c>
    </row>
    <row r="23" spans="2:15" ht="15" hidden="1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5" hidden="1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1000</v>
      </c>
      <c r="H25" s="27">
        <f t="shared" si="0"/>
        <v>-9.9</v>
      </c>
      <c r="I25" s="28"/>
      <c r="J25" s="29">
        <f>+'GS 50-4999 (60kW)'!$J$25</f>
        <v>0</v>
      </c>
      <c r="K25" s="179">
        <f>$H$16</f>
        <v>1000</v>
      </c>
      <c r="L25" s="27">
        <f t="shared" si="1"/>
        <v>0</v>
      </c>
      <c r="M25" s="28"/>
      <c r="N25" s="31">
        <f t="shared" si="2"/>
        <v>9.9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1000</v>
      </c>
      <c r="H26" s="27">
        <f t="shared" si="0"/>
        <v>0</v>
      </c>
      <c r="I26" s="28"/>
      <c r="J26" s="29">
        <f>+'GS 50-4999 (60kW)'!$J$26</f>
        <v>-0.24005098703195524</v>
      </c>
      <c r="K26" s="179">
        <f>$H$16</f>
        <v>1000</v>
      </c>
      <c r="L26" s="27">
        <f t="shared" si="1"/>
        <v>-240.05098703195523</v>
      </c>
      <c r="M26" s="28"/>
      <c r="N26" s="31">
        <f t="shared" si="2"/>
        <v>-240.05098703195523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1000</v>
      </c>
      <c r="H27" s="27">
        <f t="shared" si="0"/>
        <v>4739.5</v>
      </c>
      <c r="I27" s="28"/>
      <c r="J27" s="29">
        <f>+'GS 50-4999 (60kW)'!$J$27</f>
        <v>5.3209</v>
      </c>
      <c r="K27" s="179">
        <f>$H$16</f>
        <v>1000</v>
      </c>
      <c r="L27" s="27">
        <f t="shared" si="1"/>
        <v>5320.9</v>
      </c>
      <c r="M27" s="28"/>
      <c r="N27" s="31">
        <f t="shared" si="2"/>
        <v>581.39999999999964</v>
      </c>
      <c r="O27" s="32">
        <f t="shared" si="3"/>
        <v>0.12267116784470929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400000</v>
      </c>
      <c r="H28" s="27">
        <f t="shared" si="0"/>
        <v>0</v>
      </c>
      <c r="I28" s="28"/>
      <c r="J28" s="29"/>
      <c r="K28" s="26">
        <f t="shared" ref="K28:K36" si="4">$F$16</f>
        <v>400000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400000</v>
      </c>
      <c r="H29" s="27">
        <f t="shared" si="0"/>
        <v>0</v>
      </c>
      <c r="I29" s="28"/>
      <c r="J29" s="29"/>
      <c r="K29" s="26">
        <f t="shared" si="4"/>
        <v>400000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400000</v>
      </c>
      <c r="H30" s="27">
        <f t="shared" si="0"/>
        <v>0</v>
      </c>
      <c r="I30" s="28"/>
      <c r="J30" s="29"/>
      <c r="K30" s="26">
        <f t="shared" si="4"/>
        <v>400000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400000</v>
      </c>
      <c r="H31" s="27">
        <f t="shared" si="0"/>
        <v>0</v>
      </c>
      <c r="I31" s="28"/>
      <c r="J31" s="29"/>
      <c r="K31" s="26">
        <f t="shared" si="4"/>
        <v>400000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400000</v>
      </c>
      <c r="H32" s="27">
        <f t="shared" si="0"/>
        <v>0</v>
      </c>
      <c r="I32" s="28"/>
      <c r="J32" s="29"/>
      <c r="K32" s="26">
        <f t="shared" si="4"/>
        <v>400000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400000</v>
      </c>
      <c r="H33" s="27">
        <f t="shared" si="0"/>
        <v>0</v>
      </c>
      <c r="I33" s="28"/>
      <c r="J33" s="29"/>
      <c r="K33" s="26">
        <f t="shared" si="4"/>
        <v>400000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400000</v>
      </c>
      <c r="H34" s="27">
        <f t="shared" si="0"/>
        <v>0</v>
      </c>
      <c r="I34" s="28"/>
      <c r="J34" s="29"/>
      <c r="K34" s="26">
        <f t="shared" si="4"/>
        <v>400000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400000</v>
      </c>
      <c r="H35" s="27">
        <f t="shared" si="0"/>
        <v>0</v>
      </c>
      <c r="I35" s="28"/>
      <c r="J35" s="29"/>
      <c r="K35" s="26">
        <f t="shared" si="4"/>
        <v>400000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400000</v>
      </c>
      <c r="H36" s="27">
        <f t="shared" si="0"/>
        <v>0</v>
      </c>
      <c r="I36" s="28"/>
      <c r="J36" s="29"/>
      <c r="K36" s="26">
        <f t="shared" si="4"/>
        <v>400000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4848.9799999999996</v>
      </c>
      <c r="I37" s="41"/>
      <c r="J37" s="42"/>
      <c r="K37" s="43"/>
      <c r="L37" s="40">
        <f>SUM(L21:L36)</f>
        <v>5383.2990129680447</v>
      </c>
      <c r="M37" s="41"/>
      <c r="N37" s="44">
        <f t="shared" si="2"/>
        <v>534.31901296804517</v>
      </c>
      <c r="O37" s="45">
        <f t="shared" si="3"/>
        <v>0.11019204306226159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1000</v>
      </c>
      <c r="H38" s="27">
        <f t="shared" ref="H38:H44" si="6">G38*F38</f>
        <v>-650.20000000000005</v>
      </c>
      <c r="I38" s="28"/>
      <c r="J38" s="29">
        <f>+'GS 50-4999 (60kW)'!$J$38</f>
        <v>0.78958051332893586</v>
      </c>
      <c r="K38" s="179">
        <f>H16</f>
        <v>1000</v>
      </c>
      <c r="L38" s="27">
        <f t="shared" ref="L38:L44" si="7">K38*J38</f>
        <v>789.58051332893581</v>
      </c>
      <c r="M38" s="28"/>
      <c r="N38" s="31">
        <f t="shared" ref="N38:N44" si="8">L38-H38</f>
        <v>1439.7805133289357</v>
      </c>
      <c r="O38" s="32">
        <f t="shared" ref="O38:O43" si="9">IF((H38)=0,"",(N38/H38))</f>
        <v>-2.2143656003213406</v>
      </c>
    </row>
    <row r="39" spans="2:15" ht="15" x14ac:dyDescent="0.25">
      <c r="B39" s="296"/>
      <c r="C39" s="22"/>
      <c r="D39" s="23" t="s">
        <v>70</v>
      </c>
      <c r="E39" s="24"/>
      <c r="F39" s="25"/>
      <c r="G39" s="179">
        <f>H16</f>
        <v>1000</v>
      </c>
      <c r="H39" s="27">
        <f t="shared" si="6"/>
        <v>0</v>
      </c>
      <c r="I39" s="47"/>
      <c r="J39" s="29"/>
      <c r="K39" s="179">
        <f>H16</f>
        <v>1000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5" hidden="1" x14ac:dyDescent="0.25">
      <c r="B40" s="296"/>
      <c r="C40" s="22"/>
      <c r="D40" s="23" t="s">
        <v>70</v>
      </c>
      <c r="E40" s="24"/>
      <c r="F40" s="25"/>
      <c r="G40" s="179">
        <f>H16</f>
        <v>1000</v>
      </c>
      <c r="H40" s="27">
        <f t="shared" si="6"/>
        <v>0</v>
      </c>
      <c r="I40" s="47"/>
      <c r="J40" s="29"/>
      <c r="K40" s="179">
        <f>H16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.75" customHeight="1" x14ac:dyDescent="0.25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1000</v>
      </c>
      <c r="H41" s="27">
        <f t="shared" si="6"/>
        <v>267.5</v>
      </c>
      <c r="I41" s="47"/>
      <c r="J41" s="29">
        <f>+'GS 50-4999 (60kW)'!$J$41</f>
        <v>1.2659</v>
      </c>
      <c r="K41" s="179">
        <f>H16</f>
        <v>1000</v>
      </c>
      <c r="L41" s="27">
        <f t="shared" si="7"/>
        <v>1265.9000000000001</v>
      </c>
      <c r="M41" s="48"/>
      <c r="N41" s="31">
        <f t="shared" si="8"/>
        <v>998.40000000000009</v>
      </c>
      <c r="O41" s="32">
        <f t="shared" si="9"/>
        <v>3.7323364485981312</v>
      </c>
    </row>
    <row r="42" spans="2:15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1000</v>
      </c>
      <c r="H42" s="27">
        <f t="shared" si="6"/>
        <v>55.1</v>
      </c>
      <c r="I42" s="28"/>
      <c r="J42" s="29">
        <f>+'GS 50-4999 (60kW)'!$J$42</f>
        <v>7.51E-2</v>
      </c>
      <c r="K42" s="179">
        <f>H16</f>
        <v>1000</v>
      </c>
      <c r="L42" s="27">
        <f t="shared" si="7"/>
        <v>75.099999999999994</v>
      </c>
      <c r="M42" s="28"/>
      <c r="N42" s="31">
        <f t="shared" si="8"/>
        <v>19.999999999999993</v>
      </c>
      <c r="O42" s="32">
        <f t="shared" si="9"/>
        <v>0.36297640653357516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16160</v>
      </c>
      <c r="H43" s="184">
        <f t="shared" si="6"/>
        <v>1212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14480</v>
      </c>
      <c r="L43" s="184">
        <f t="shared" si="7"/>
        <v>1086</v>
      </c>
      <c r="M43" s="57"/>
      <c r="N43" s="186">
        <f t="shared" si="8"/>
        <v>-126</v>
      </c>
      <c r="O43" s="187">
        <f t="shared" si="9"/>
        <v>-0.10396039603960396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5733.3799999999992</v>
      </c>
      <c r="I45" s="41"/>
      <c r="J45" s="53"/>
      <c r="K45" s="55"/>
      <c r="L45" s="54">
        <f>SUM(L38:L44)+L37</f>
        <v>8599.8795262969797</v>
      </c>
      <c r="M45" s="41"/>
      <c r="N45" s="44">
        <f t="shared" ref="N45:N63" si="10">L45-H45</f>
        <v>2866.4995262969805</v>
      </c>
      <c r="O45" s="45">
        <f t="shared" ref="O45:O63" si="11">IF((H45)=0,"",(N45/H45))</f>
        <v>0.49996677811290741</v>
      </c>
    </row>
    <row r="46" spans="2:1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1000</v>
      </c>
      <c r="H46" s="27">
        <f>G46*F46</f>
        <v>2842.1</v>
      </c>
      <c r="I46" s="28"/>
      <c r="J46" s="29">
        <f>+'GS 50-4999 (60kW)'!$J$46</f>
        <v>2.7740999999999998</v>
      </c>
      <c r="K46" s="290">
        <f>+G46</f>
        <v>1000</v>
      </c>
      <c r="L46" s="27">
        <f>K46*J46</f>
        <v>2774.1</v>
      </c>
      <c r="M46" s="28"/>
      <c r="N46" s="31">
        <f t="shared" si="10"/>
        <v>-68</v>
      </c>
      <c r="O46" s="32">
        <f t="shared" si="11"/>
        <v>-2.3925970233278211E-2</v>
      </c>
    </row>
    <row r="47" spans="2:1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1000</v>
      </c>
      <c r="H47" s="27">
        <f>G47*F47</f>
        <v>816.5</v>
      </c>
      <c r="I47" s="28"/>
      <c r="J47" s="29">
        <f>+'GS 50-4999 (60kW)'!$J$47</f>
        <v>0.80359999999999998</v>
      </c>
      <c r="K47" s="290">
        <f>K46</f>
        <v>1000</v>
      </c>
      <c r="L47" s="27">
        <f>K47*J47</f>
        <v>803.6</v>
      </c>
      <c r="M47" s="28"/>
      <c r="N47" s="31">
        <f t="shared" si="10"/>
        <v>-12.899999999999977</v>
      </c>
      <c r="O47" s="32">
        <f t="shared" si="11"/>
        <v>-1.5799142682180009E-2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9391.98</v>
      </c>
      <c r="I48" s="61"/>
      <c r="J48" s="62"/>
      <c r="K48" s="63"/>
      <c r="L48" s="54">
        <f>SUM(L45:L47)</f>
        <v>12177.57952629698</v>
      </c>
      <c r="M48" s="61"/>
      <c r="N48" s="44">
        <f t="shared" si="10"/>
        <v>2785.5995262969809</v>
      </c>
      <c r="O48" s="45">
        <f t="shared" si="11"/>
        <v>0.29659342612494716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F16*(F72)</f>
        <v>16160</v>
      </c>
      <c r="H49" s="66">
        <f t="shared" ref="H49:H55" si="12">G49*F49</f>
        <v>71.103999999999999</v>
      </c>
      <c r="I49" s="28"/>
      <c r="J49" s="263">
        <f>+'GS 50-4999 (60kW)'!$J$49</f>
        <v>4.4000000000000003E-3</v>
      </c>
      <c r="K49" s="290">
        <f>F16*(J72)</f>
        <v>14480.000000000002</v>
      </c>
      <c r="L49" s="66">
        <f t="shared" ref="L49:L55" si="13">K49*J49</f>
        <v>63.71200000000001</v>
      </c>
      <c r="M49" s="28"/>
      <c r="N49" s="31">
        <f t="shared" si="10"/>
        <v>-7.3919999999999888</v>
      </c>
      <c r="O49" s="68">
        <f t="shared" si="11"/>
        <v>-0.1039603960396038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16160</v>
      </c>
      <c r="H50" s="66">
        <f t="shared" si="12"/>
        <v>21.007999999999999</v>
      </c>
      <c r="I50" s="28"/>
      <c r="J50" s="263">
        <f>+'GS 50-4999 (60kW)'!$J$50</f>
        <v>1.2999999999999999E-3</v>
      </c>
      <c r="K50" s="290">
        <f>K49</f>
        <v>14480.000000000002</v>
      </c>
      <c r="L50" s="66">
        <f t="shared" si="13"/>
        <v>18.824000000000002</v>
      </c>
      <c r="M50" s="28"/>
      <c r="N50" s="31">
        <f t="shared" si="10"/>
        <v>-2.1839999999999975</v>
      </c>
      <c r="O50" s="68">
        <f t="shared" si="11"/>
        <v>-0.10396039603960384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12"/>
        <v>0.25</v>
      </c>
      <c r="I51" s="28"/>
      <c r="J51" s="283">
        <f>+'GS 50-4999 (60kW)'!$J$51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400000</v>
      </c>
      <c r="H52" s="66">
        <f t="shared" si="12"/>
        <v>2800</v>
      </c>
      <c r="I52" s="28"/>
      <c r="J52" s="263">
        <f>+'GS 50-4999 (60kW)'!$J$52</f>
        <v>7.0000000000000001E-3</v>
      </c>
      <c r="K52" s="70">
        <f>F16</f>
        <v>400000</v>
      </c>
      <c r="L52" s="66">
        <f t="shared" si="13"/>
        <v>2800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(60kW)'!$F$53</f>
        <v>9.5519999999999994E-2</v>
      </c>
      <c r="G53" s="69">
        <f>F16</f>
        <v>400000</v>
      </c>
      <c r="H53" s="188">
        <f t="shared" si="12"/>
        <v>38208</v>
      </c>
      <c r="I53" s="57"/>
      <c r="J53" s="263">
        <f>+'GS 50-4999 (60kW)'!$J$53</f>
        <v>9.5519999999999994E-2</v>
      </c>
      <c r="K53" s="69">
        <f>G53</f>
        <v>400000</v>
      </c>
      <c r="L53" s="66">
        <f t="shared" si="13"/>
        <v>38208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50492.342000000004</v>
      </c>
      <c r="I59" s="95"/>
      <c r="J59" s="96"/>
      <c r="K59" s="96"/>
      <c r="L59" s="94">
        <f>SUM(L49:L55,L48)</f>
        <v>53268.365526296984</v>
      </c>
      <c r="M59" s="97"/>
      <c r="N59" s="98">
        <f>L59-H59</f>
        <v>2776.02352629698</v>
      </c>
      <c r="O59" s="99">
        <f>IF((H59)=0,"",(N59/H59))</f>
        <v>5.4979100123677759E-2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6564.004460000001</v>
      </c>
      <c r="I60" s="104"/>
      <c r="J60" s="105">
        <v>0.13</v>
      </c>
      <c r="K60" s="104"/>
      <c r="L60" s="106">
        <f>L59*J60</f>
        <v>6924.8875184186081</v>
      </c>
      <c r="M60" s="107"/>
      <c r="N60" s="108">
        <f t="shared" si="10"/>
        <v>360.88305841860711</v>
      </c>
      <c r="O60" s="109">
        <f t="shared" si="11"/>
        <v>5.497910012367771E-2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57056.346460000008</v>
      </c>
      <c r="I61" s="104"/>
      <c r="J61" s="104"/>
      <c r="K61" s="104"/>
      <c r="L61" s="106">
        <f>L59+L60</f>
        <v>60193.253044715595</v>
      </c>
      <c r="M61" s="107"/>
      <c r="N61" s="108">
        <f t="shared" si="10"/>
        <v>3136.9065847155871</v>
      </c>
      <c r="O61" s="109">
        <f t="shared" si="11"/>
        <v>5.4979100123677752E-2</v>
      </c>
      <c r="S61" s="72"/>
    </row>
    <row r="62" spans="2:19" ht="15.75" hidden="1" customHeight="1" x14ac:dyDescent="0.25">
      <c r="B62" s="367" t="s">
        <v>43</v>
      </c>
      <c r="C62" s="367"/>
      <c r="D62" s="367"/>
      <c r="E62" s="22"/>
      <c r="F62" s="111"/>
      <c r="G62" s="102"/>
      <c r="H62" s="112">
        <f>ROUND(-H61*10%,2)</f>
        <v>-5705.63</v>
      </c>
      <c r="I62" s="104"/>
      <c r="J62" s="104"/>
      <c r="K62" s="104"/>
      <c r="L62" s="113">
        <f>ROUND(-L61*10%,2)</f>
        <v>-6019.33</v>
      </c>
      <c r="M62" s="107"/>
      <c r="N62" s="114">
        <f t="shared" si="10"/>
        <v>-313.69999999999982</v>
      </c>
      <c r="O62" s="115">
        <f t="shared" si="11"/>
        <v>5.4980782139746151E-2</v>
      </c>
    </row>
    <row r="63" spans="2:19" ht="15" hidden="1" x14ac:dyDescent="0.25">
      <c r="B63" s="364" t="s">
        <v>44</v>
      </c>
      <c r="C63" s="364"/>
      <c r="D63" s="364"/>
      <c r="E63" s="116"/>
      <c r="F63" s="117"/>
      <c r="G63" s="118"/>
      <c r="H63" s="119">
        <f>H61+H62</f>
        <v>51350.716460000011</v>
      </c>
      <c r="I63" s="120"/>
      <c r="J63" s="120"/>
      <c r="K63" s="120"/>
      <c r="L63" s="121">
        <f>L61+L62</f>
        <v>54173.923044715593</v>
      </c>
      <c r="M63" s="122"/>
      <c r="N63" s="123">
        <f t="shared" si="10"/>
        <v>2823.2065847155827</v>
      </c>
      <c r="O63" s="124">
        <f t="shared" si="11"/>
        <v>5.4978913233172486E-2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50492.341999999997</v>
      </c>
      <c r="I65" s="136"/>
      <c r="J65" s="137"/>
      <c r="K65" s="137"/>
      <c r="L65" s="189">
        <f>SUM(L53,L48,L49:L52)</f>
        <v>53268.365526296977</v>
      </c>
      <c r="M65" s="138"/>
      <c r="N65" s="139">
        <f>L65-H65</f>
        <v>2776.02352629698</v>
      </c>
      <c r="O65" s="99">
        <f>IF((H65)=0,"",(N65/H65))</f>
        <v>5.4979100123677765E-2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6564.0044600000001</v>
      </c>
      <c r="I66" s="143"/>
      <c r="J66" s="144">
        <v>0.13</v>
      </c>
      <c r="K66" s="145"/>
      <c r="L66" s="146">
        <f>L65*J66</f>
        <v>6924.8875184186072</v>
      </c>
      <c r="M66" s="147"/>
      <c r="N66" s="148">
        <f>L66-H66</f>
        <v>360.88305841860711</v>
      </c>
      <c r="O66" s="109">
        <f>IF((H66)=0,"",(N66/H66))</f>
        <v>5.4979100123677717E-2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57056.346460000001</v>
      </c>
      <c r="I67" s="143"/>
      <c r="J67" s="143"/>
      <c r="K67" s="143"/>
      <c r="L67" s="146">
        <f>L65+L66</f>
        <v>60193.253044715588</v>
      </c>
      <c r="M67" s="147"/>
      <c r="N67" s="148">
        <f>L67-H67</f>
        <v>3136.9065847155871</v>
      </c>
      <c r="O67" s="109">
        <f>IF((H67)=0,"",(N67/H67))</f>
        <v>5.4979100123677759E-2</v>
      </c>
    </row>
    <row r="68" spans="1:15" s="73" customFormat="1" ht="15.75" customHeight="1" x14ac:dyDescent="0.25">
      <c r="B68" s="368" t="s">
        <v>43</v>
      </c>
      <c r="C68" s="368"/>
      <c r="D68" s="368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6" t="s">
        <v>46</v>
      </c>
      <c r="C69" s="356"/>
      <c r="D69" s="356"/>
      <c r="E69" s="155"/>
      <c r="F69" s="156"/>
      <c r="G69" s="157"/>
      <c r="H69" s="158">
        <f>SUM(H67:H68)</f>
        <v>57056.346460000001</v>
      </c>
      <c r="I69" s="159"/>
      <c r="J69" s="159"/>
      <c r="K69" s="159"/>
      <c r="L69" s="160">
        <f>SUM(L67:L68)</f>
        <v>60193.253044715588</v>
      </c>
      <c r="M69" s="161"/>
      <c r="N69" s="162">
        <f>L69-H69</f>
        <v>3136.9065847155871</v>
      </c>
      <c r="O69" s="163">
        <f>IF((H69)=0,"",(N69/H69))</f>
        <v>5.4979100123677759E-2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F18:H18"/>
    <mergeCell ref="J18:L18"/>
    <mergeCell ref="N18:O18"/>
    <mergeCell ref="N1:O1"/>
    <mergeCell ref="N2:O2"/>
    <mergeCell ref="N5:O5"/>
    <mergeCell ref="B8:O8"/>
    <mergeCell ref="B9:O9"/>
    <mergeCell ref="D12:O12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CCFF"/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9.886718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51">
        <v>42125</v>
      </c>
      <c r="O5" s="351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71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8000000</v>
      </c>
      <c r="G16" s="13" t="s">
        <v>7</v>
      </c>
      <c r="H16" s="14">
        <v>14500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6975.72</v>
      </c>
      <c r="G21" s="26">
        <v>1</v>
      </c>
      <c r="H21" s="27">
        <f>G21*F21</f>
        <v>6975.72</v>
      </c>
      <c r="I21" s="28"/>
      <c r="J21" s="283">
        <v>8781.61</v>
      </c>
      <c r="K21" s="30">
        <v>1</v>
      </c>
      <c r="L21" s="27">
        <f>K21*J21</f>
        <v>8781.61</v>
      </c>
      <c r="M21" s="28"/>
      <c r="N21" s="31">
        <f>L21-H21</f>
        <v>1805.8900000000003</v>
      </c>
      <c r="O21" s="32">
        <f>IF((H21)=0,"",(N21/H21))</f>
        <v>0.25888223724576104</v>
      </c>
    </row>
    <row r="22" spans="2:15" ht="36.75" customHeight="1" x14ac:dyDescent="0.25">
      <c r="B22" s="296" t="s">
        <v>90</v>
      </c>
      <c r="C22" s="22"/>
      <c r="D22" s="56" t="s">
        <v>70</v>
      </c>
      <c r="E22" s="24"/>
      <c r="F22" s="173"/>
      <c r="G22" s="179">
        <f>+H16</f>
        <v>14500</v>
      </c>
      <c r="H22" s="27">
        <f t="shared" ref="H22:H36" si="0">G22*F22</f>
        <v>0</v>
      </c>
      <c r="I22" s="28"/>
      <c r="J22" s="263">
        <v>-4.53E-2</v>
      </c>
      <c r="K22" s="262">
        <f>+H16</f>
        <v>14500</v>
      </c>
      <c r="L22" s="27">
        <f>K22*J22</f>
        <v>-656.85</v>
      </c>
      <c r="M22" s="28"/>
      <c r="N22" s="31">
        <f>L22-H22</f>
        <v>-656.85</v>
      </c>
      <c r="O22" s="32" t="str">
        <f>IF((H22)=0,"",(N22/H22))</f>
        <v/>
      </c>
    </row>
    <row r="23" spans="2:15" ht="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v>-7.1999999999999998E-3</v>
      </c>
      <c r="G25" s="179">
        <f>$H$16</f>
        <v>14500</v>
      </c>
      <c r="H25" s="27">
        <f t="shared" si="0"/>
        <v>-104.39999999999999</v>
      </c>
      <c r="I25" s="28"/>
      <c r="J25" s="283"/>
      <c r="K25" s="179">
        <f>$H$16</f>
        <v>14500</v>
      </c>
      <c r="L25" s="27">
        <f t="shared" si="1"/>
        <v>0</v>
      </c>
      <c r="M25" s="28"/>
      <c r="N25" s="31">
        <f t="shared" si="2"/>
        <v>104.39999999999999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173"/>
      <c r="G26" s="179">
        <f>$H$16</f>
        <v>14500</v>
      </c>
      <c r="H26" s="27">
        <f t="shared" si="0"/>
        <v>0</v>
      </c>
      <c r="I26" s="28"/>
      <c r="J26" s="311">
        <v>-0.32327797169175071</v>
      </c>
      <c r="K26" s="179">
        <f>$H$16</f>
        <v>14500</v>
      </c>
      <c r="L26" s="27">
        <f t="shared" si="1"/>
        <v>-4687.5305895303854</v>
      </c>
      <c r="M26" s="28"/>
      <c r="N26" s="31">
        <f t="shared" si="2"/>
        <v>-4687.5305895303854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v>3.3374999999999999</v>
      </c>
      <c r="G27" s="179">
        <f>$H$16</f>
        <v>14500</v>
      </c>
      <c r="H27" s="27">
        <f t="shared" si="0"/>
        <v>48393.75</v>
      </c>
      <c r="I27" s="28"/>
      <c r="J27" s="263">
        <v>4.2015000000000002</v>
      </c>
      <c r="K27" s="179">
        <f>$H$16</f>
        <v>14500</v>
      </c>
      <c r="L27" s="27">
        <f t="shared" si="1"/>
        <v>60921.75</v>
      </c>
      <c r="M27" s="28"/>
      <c r="N27" s="31">
        <f t="shared" si="2"/>
        <v>12528</v>
      </c>
      <c r="O27" s="32">
        <f t="shared" si="3"/>
        <v>0.25887640449438204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8000000</v>
      </c>
      <c r="H28" s="27">
        <f t="shared" si="0"/>
        <v>0</v>
      </c>
      <c r="I28" s="28"/>
      <c r="J28" s="29"/>
      <c r="K28" s="26">
        <f t="shared" ref="K28:K36" si="4">$F$16</f>
        <v>8000000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8000000</v>
      </c>
      <c r="H29" s="27">
        <f t="shared" si="0"/>
        <v>0</v>
      </c>
      <c r="I29" s="28"/>
      <c r="J29" s="29"/>
      <c r="K29" s="26">
        <f t="shared" si="4"/>
        <v>8000000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8000000</v>
      </c>
      <c r="H30" s="27">
        <f t="shared" si="0"/>
        <v>0</v>
      </c>
      <c r="I30" s="28"/>
      <c r="J30" s="29"/>
      <c r="K30" s="26">
        <f t="shared" si="4"/>
        <v>8000000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8000000</v>
      </c>
      <c r="H31" s="27">
        <f t="shared" si="0"/>
        <v>0</v>
      </c>
      <c r="I31" s="28"/>
      <c r="J31" s="29"/>
      <c r="K31" s="26">
        <f t="shared" si="4"/>
        <v>8000000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8000000</v>
      </c>
      <c r="H32" s="27">
        <f t="shared" si="0"/>
        <v>0</v>
      </c>
      <c r="I32" s="28"/>
      <c r="J32" s="29"/>
      <c r="K32" s="26">
        <f t="shared" si="4"/>
        <v>8000000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8000000</v>
      </c>
      <c r="H33" s="27">
        <f t="shared" si="0"/>
        <v>0</v>
      </c>
      <c r="I33" s="28"/>
      <c r="J33" s="29"/>
      <c r="K33" s="26">
        <f t="shared" si="4"/>
        <v>8000000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8000000</v>
      </c>
      <c r="H34" s="27">
        <f t="shared" si="0"/>
        <v>0</v>
      </c>
      <c r="I34" s="28"/>
      <c r="J34" s="29"/>
      <c r="K34" s="26">
        <f t="shared" si="4"/>
        <v>8000000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8000000</v>
      </c>
      <c r="H35" s="27">
        <f t="shared" si="0"/>
        <v>0</v>
      </c>
      <c r="I35" s="28"/>
      <c r="J35" s="29"/>
      <c r="K35" s="26">
        <f t="shared" si="4"/>
        <v>8000000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8000000</v>
      </c>
      <c r="H36" s="27">
        <f t="shared" si="0"/>
        <v>0</v>
      </c>
      <c r="I36" s="28"/>
      <c r="J36" s="29"/>
      <c r="K36" s="26">
        <f t="shared" si="4"/>
        <v>8000000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55265.07</v>
      </c>
      <c r="I37" s="41"/>
      <c r="J37" s="42"/>
      <c r="K37" s="43"/>
      <c r="L37" s="40">
        <f>SUM(L21:L36)</f>
        <v>64358.979410469612</v>
      </c>
      <c r="M37" s="41"/>
      <c r="N37" s="44">
        <f t="shared" si="2"/>
        <v>9093.9094104696123</v>
      </c>
      <c r="O37" s="45">
        <f t="shared" si="3"/>
        <v>0.16455076254258996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v>-0.75409999999999999</v>
      </c>
      <c r="G38" s="179">
        <f>G27</f>
        <v>14500</v>
      </c>
      <c r="H38" s="27">
        <f t="shared" ref="H38:H44" si="6">G38*F38</f>
        <v>-10934.45</v>
      </c>
      <c r="I38" s="28"/>
      <c r="J38" s="29">
        <v>1.064259813595875</v>
      </c>
      <c r="K38" s="179">
        <f>H16</f>
        <v>14500</v>
      </c>
      <c r="L38" s="27">
        <f t="shared" ref="L38:L44" si="7">K38*J38</f>
        <v>15431.767297140186</v>
      </c>
      <c r="M38" s="28"/>
      <c r="N38" s="31">
        <f t="shared" ref="N38:N44" si="8">L38-H38</f>
        <v>26366.217297140189</v>
      </c>
      <c r="O38" s="32">
        <f t="shared" ref="O38:O43" si="9">IF((H38)=0,"",(N38/H38))</f>
        <v>-2.4112979891206403</v>
      </c>
    </row>
    <row r="39" spans="2:15" ht="15" x14ac:dyDescent="0.25">
      <c r="B39" s="296"/>
      <c r="C39" s="22"/>
      <c r="D39" s="23" t="s">
        <v>70</v>
      </c>
      <c r="E39" s="24"/>
      <c r="F39" s="25"/>
      <c r="G39" s="179">
        <f>H16</f>
        <v>14500</v>
      </c>
      <c r="H39" s="27">
        <f t="shared" si="6"/>
        <v>0</v>
      </c>
      <c r="I39" s="47"/>
      <c r="J39" s="29"/>
      <c r="K39" s="179">
        <f>H16</f>
        <v>14500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5" hidden="1" x14ac:dyDescent="0.25">
      <c r="B40" s="46"/>
      <c r="C40" s="22"/>
      <c r="D40" s="23" t="s">
        <v>70</v>
      </c>
      <c r="E40" s="24"/>
      <c r="F40" s="25"/>
      <c r="G40" s="179">
        <f>H16</f>
        <v>14500</v>
      </c>
      <c r="H40" s="27">
        <f t="shared" si="6"/>
        <v>0</v>
      </c>
      <c r="I40" s="47"/>
      <c r="J40" s="29"/>
      <c r="K40" s="179">
        <f>H16</f>
        <v>14500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9.25" customHeight="1" x14ac:dyDescent="0.25">
      <c r="B41" s="296" t="s">
        <v>74</v>
      </c>
      <c r="C41" s="22"/>
      <c r="D41" s="23" t="s">
        <v>70</v>
      </c>
      <c r="E41" s="24"/>
      <c r="F41" s="29"/>
      <c r="G41" s="179">
        <f>H16</f>
        <v>14500</v>
      </c>
      <c r="H41" s="27">
        <f>G41*F41</f>
        <v>0</v>
      </c>
      <c r="I41" s="47"/>
      <c r="J41" s="29"/>
      <c r="K41" s="179">
        <f>H16</f>
        <v>14500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3">
      <c r="B42" s="49" t="s">
        <v>24</v>
      </c>
      <c r="C42" s="22"/>
      <c r="D42" s="23" t="s">
        <v>70</v>
      </c>
      <c r="E42" s="24"/>
      <c r="F42" s="25">
        <v>5.5300000000000002E-2</v>
      </c>
      <c r="G42" s="179">
        <f>H16</f>
        <v>14500</v>
      </c>
      <c r="H42" s="27">
        <f t="shared" si="6"/>
        <v>801.85</v>
      </c>
      <c r="I42" s="28"/>
      <c r="J42" s="29">
        <v>9.4200000000000006E-2</v>
      </c>
      <c r="K42" s="179">
        <f>H16</f>
        <v>14500</v>
      </c>
      <c r="L42" s="27">
        <f t="shared" si="7"/>
        <v>1365.9</v>
      </c>
      <c r="M42" s="28"/>
      <c r="N42" s="31">
        <f t="shared" si="8"/>
        <v>564.05000000000007</v>
      </c>
      <c r="O42" s="32">
        <f t="shared" si="9"/>
        <v>0.70343580470162759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39999.999999999069</v>
      </c>
      <c r="H43" s="184">
        <f t="shared" si="6"/>
        <v>2999.99999999993</v>
      </c>
      <c r="I43" s="57"/>
      <c r="J43" s="185">
        <f>IF(ISBLANK(D14)=TRUE, 0, IF(D14="TOU", 0.64*$F$53+0.18*$F$54+0.18*$F$55, IF(AND(D14="non-TOU", K57&gt;0), J57,J56)))</f>
        <v>0</v>
      </c>
      <c r="K43" s="26">
        <f>$F$16*(1+$J$72)-$F$16</f>
        <v>3760</v>
      </c>
      <c r="L43" s="184">
        <f t="shared" si="7"/>
        <v>0</v>
      </c>
      <c r="M43" s="57"/>
      <c r="N43" s="186">
        <f t="shared" si="8"/>
        <v>-2999.99999999993</v>
      </c>
      <c r="O43" s="187">
        <f t="shared" si="9"/>
        <v>-1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48132.469999999928</v>
      </c>
      <c r="I45" s="41"/>
      <c r="J45" s="53"/>
      <c r="K45" s="55"/>
      <c r="L45" s="54">
        <f>SUM(L38:L44)+L37</f>
        <v>81156.646707609791</v>
      </c>
      <c r="M45" s="41"/>
      <c r="N45" s="44">
        <f t="shared" ref="N45:N63" si="10">L45-H45</f>
        <v>33024.176707609862</v>
      </c>
      <c r="O45" s="45">
        <f t="shared" ref="O45:O63" si="11">IF((H45)=0,"",(N45/H45))</f>
        <v>0.68611016030571281</v>
      </c>
    </row>
    <row r="46" spans="2:15" x14ac:dyDescent="0.3">
      <c r="B46" s="28" t="s">
        <v>28</v>
      </c>
      <c r="C46" s="28"/>
      <c r="D46" s="56" t="s">
        <v>70</v>
      </c>
      <c r="E46" s="57"/>
      <c r="F46" s="263">
        <v>3.3422999999999998</v>
      </c>
      <c r="G46" s="289">
        <f>+H16</f>
        <v>14500</v>
      </c>
      <c r="H46" s="27">
        <f>G46*F46</f>
        <v>48463.35</v>
      </c>
      <c r="I46" s="28"/>
      <c r="J46" s="263">
        <v>3.2624</v>
      </c>
      <c r="K46" s="290">
        <f>+G46</f>
        <v>14500</v>
      </c>
      <c r="L46" s="27">
        <f>K46*J46</f>
        <v>47304.800000000003</v>
      </c>
      <c r="M46" s="28"/>
      <c r="N46" s="31">
        <f t="shared" si="10"/>
        <v>-1158.5499999999956</v>
      </c>
      <c r="O46" s="32">
        <f t="shared" si="11"/>
        <v>-2.3905693683989978E-2</v>
      </c>
    </row>
    <row r="47" spans="2:15" x14ac:dyDescent="0.3">
      <c r="B47" s="59" t="s">
        <v>29</v>
      </c>
      <c r="C47" s="28"/>
      <c r="D47" s="56" t="s">
        <v>70</v>
      </c>
      <c r="E47" s="57"/>
      <c r="F47" s="263">
        <v>1.0234000000000001</v>
      </c>
      <c r="G47" s="289">
        <f>G46</f>
        <v>14500</v>
      </c>
      <c r="H47" s="27">
        <f>G47*F47</f>
        <v>14839.300000000001</v>
      </c>
      <c r="I47" s="28"/>
      <c r="J47" s="263">
        <v>1.0072000000000001</v>
      </c>
      <c r="K47" s="290">
        <f>K46</f>
        <v>14500</v>
      </c>
      <c r="L47" s="27">
        <f>K47*J47</f>
        <v>14604.400000000001</v>
      </c>
      <c r="M47" s="28"/>
      <c r="N47" s="31">
        <f t="shared" si="10"/>
        <v>-234.89999999999964</v>
      </c>
      <c r="O47" s="32">
        <f t="shared" si="11"/>
        <v>-1.5829587649013068E-2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111435.11999999992</v>
      </c>
      <c r="I48" s="61"/>
      <c r="J48" s="62"/>
      <c r="K48" s="63"/>
      <c r="L48" s="54">
        <f>SUM(L45:L47)</f>
        <v>143065.8467076098</v>
      </c>
      <c r="M48" s="61"/>
      <c r="N48" s="44">
        <f t="shared" si="10"/>
        <v>31630.72670760988</v>
      </c>
      <c r="O48" s="45">
        <f t="shared" si="11"/>
        <v>0.28384881451745109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8039999.9999999991</v>
      </c>
      <c r="H49" s="66">
        <f t="shared" ref="H49:H55" si="12">G49*F49</f>
        <v>35376</v>
      </c>
      <c r="I49" s="28"/>
      <c r="J49" s="263">
        <f>+F49</f>
        <v>4.4000000000000003E-3</v>
      </c>
      <c r="K49" s="290">
        <f>F16*(1+J72)</f>
        <v>8003760</v>
      </c>
      <c r="L49" s="66">
        <f t="shared" ref="L49:L55" si="13">K49*J49</f>
        <v>35216.544000000002</v>
      </c>
      <c r="M49" s="28"/>
      <c r="N49" s="31">
        <f t="shared" si="10"/>
        <v>-159.45599999999831</v>
      </c>
      <c r="O49" s="68">
        <f t="shared" si="11"/>
        <v>-4.5074626865671168E-3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8039999.9999999991</v>
      </c>
      <c r="H50" s="66">
        <f t="shared" si="12"/>
        <v>10451.999999999998</v>
      </c>
      <c r="I50" s="28"/>
      <c r="J50" s="263">
        <f>+F50</f>
        <v>1.2999999999999999E-3</v>
      </c>
      <c r="K50" s="290">
        <f>K49</f>
        <v>8003760</v>
      </c>
      <c r="L50" s="66">
        <f t="shared" si="13"/>
        <v>10404.887999999999</v>
      </c>
      <c r="M50" s="28"/>
      <c r="N50" s="31">
        <f t="shared" si="10"/>
        <v>-47.111999999999171</v>
      </c>
      <c r="O50" s="68">
        <f t="shared" si="11"/>
        <v>-4.5074626865670856E-3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8000000</v>
      </c>
      <c r="H52" s="66">
        <f t="shared" si="12"/>
        <v>56000</v>
      </c>
      <c r="I52" s="28"/>
      <c r="J52" s="263">
        <f>+F52</f>
        <v>7.0000000000000001E-3</v>
      </c>
      <c r="K52" s="70">
        <f>F16</f>
        <v>8000000</v>
      </c>
      <c r="L52" s="66">
        <f t="shared" si="13"/>
        <v>56000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8000000</v>
      </c>
      <c r="H53" s="66">
        <f t="shared" si="12"/>
        <v>764160</v>
      </c>
      <c r="I53" s="28"/>
      <c r="J53" s="284">
        <f>F53</f>
        <v>9.5519999999999994E-2</v>
      </c>
      <c r="K53" s="69">
        <f>G53</f>
        <v>8000000</v>
      </c>
      <c r="L53" s="66">
        <f t="shared" si="13"/>
        <v>764160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289">
        <v>0</v>
      </c>
      <c r="H54" s="66">
        <f t="shared" si="12"/>
        <v>0</v>
      </c>
      <c r="I54" s="28"/>
      <c r="J54" s="65">
        <v>0.104</v>
      </c>
      <c r="K54" s="28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289">
        <v>0</v>
      </c>
      <c r="H55" s="66">
        <f t="shared" si="12"/>
        <v>0</v>
      </c>
      <c r="I55" s="28"/>
      <c r="J55" s="65">
        <v>0.124</v>
      </c>
      <c r="K55" s="28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f>+G56</f>
        <v>0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f>+G57</f>
        <v>0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977423.36999999988</v>
      </c>
      <c r="I59" s="95"/>
      <c r="J59" s="96"/>
      <c r="K59" s="96"/>
      <c r="L59" s="94">
        <f>SUM(L49:L55,L48)</f>
        <v>1008847.5287076099</v>
      </c>
      <c r="M59" s="97"/>
      <c r="N59" s="98">
        <f>L59-H59</f>
        <v>31424.158707609982</v>
      </c>
      <c r="O59" s="99">
        <f>IF((H59)=0,"",(N59/H59))</f>
        <v>3.214999730117972E-2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127065.03809999999</v>
      </c>
      <c r="I60" s="104"/>
      <c r="J60" s="105">
        <v>0.13</v>
      </c>
      <c r="K60" s="104"/>
      <c r="L60" s="106">
        <f>L59*J60</f>
        <v>131150.17873198929</v>
      </c>
      <c r="M60" s="107"/>
      <c r="N60" s="108">
        <f t="shared" si="10"/>
        <v>4085.1406319892994</v>
      </c>
      <c r="O60" s="109">
        <f t="shared" si="11"/>
        <v>3.2149997301179734E-2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1104488.4080999999</v>
      </c>
      <c r="I61" s="104"/>
      <c r="J61" s="104"/>
      <c r="K61" s="104"/>
      <c r="L61" s="106">
        <f>L59+L60</f>
        <v>1139997.7074395991</v>
      </c>
      <c r="M61" s="107"/>
      <c r="N61" s="108">
        <f t="shared" si="10"/>
        <v>35509.299339599209</v>
      </c>
      <c r="O61" s="109">
        <f t="shared" si="11"/>
        <v>3.2149997301179657E-2</v>
      </c>
      <c r="S61" s="72"/>
    </row>
    <row r="62" spans="2:19" ht="15.75" hidden="1" customHeight="1" x14ac:dyDescent="0.25">
      <c r="B62" s="367" t="s">
        <v>43</v>
      </c>
      <c r="C62" s="367"/>
      <c r="D62" s="367"/>
      <c r="E62" s="22"/>
      <c r="F62" s="111"/>
      <c r="G62" s="102"/>
      <c r="H62" s="112">
        <f>ROUND(-H61*10%,2)</f>
        <v>-110448.84</v>
      </c>
      <c r="I62" s="104"/>
      <c r="J62" s="104"/>
      <c r="K62" s="104"/>
      <c r="L62" s="113">
        <f>ROUND(-L61*10%,2)</f>
        <v>-113999.77</v>
      </c>
      <c r="M62" s="107"/>
      <c r="N62" s="114">
        <f t="shared" si="10"/>
        <v>-3550.9300000000076</v>
      </c>
      <c r="O62" s="115">
        <f t="shared" si="11"/>
        <v>3.2149998134883152E-2</v>
      </c>
    </row>
    <row r="63" spans="2:19" ht="15.75" hidden="1" thickBot="1" x14ac:dyDescent="0.3">
      <c r="B63" s="364" t="s">
        <v>44</v>
      </c>
      <c r="C63" s="364"/>
      <c r="D63" s="364"/>
      <c r="E63" s="116"/>
      <c r="F63" s="117"/>
      <c r="G63" s="118"/>
      <c r="H63" s="119">
        <f>H61+H62</f>
        <v>994039.56809999992</v>
      </c>
      <c r="I63" s="120"/>
      <c r="J63" s="120"/>
      <c r="K63" s="120"/>
      <c r="L63" s="121">
        <f>L61+L62</f>
        <v>1025997.9374395991</v>
      </c>
      <c r="M63" s="122"/>
      <c r="N63" s="123">
        <f t="shared" si="10"/>
        <v>31958.369339599158</v>
      </c>
      <c r="O63" s="124">
        <f t="shared" si="11"/>
        <v>3.2149997208545888E-2</v>
      </c>
    </row>
    <row r="64" spans="2:19" s="73" customFormat="1" ht="8.25" hidden="1" customHeight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977423.36999999988</v>
      </c>
      <c r="I65" s="136"/>
      <c r="J65" s="137"/>
      <c r="K65" s="137"/>
      <c r="L65" s="189">
        <f>SUM(L53,L48,L49:L52)</f>
        <v>1008847.5287076099</v>
      </c>
      <c r="M65" s="138"/>
      <c r="N65" s="139">
        <f>L65-H65</f>
        <v>31424.158707609982</v>
      </c>
      <c r="O65" s="99">
        <f>IF((H65)=0,"",(N65/H65))</f>
        <v>3.214999730117972E-2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127065.03809999999</v>
      </c>
      <c r="I66" s="143"/>
      <c r="J66" s="144">
        <v>0.13</v>
      </c>
      <c r="K66" s="145"/>
      <c r="L66" s="146">
        <f>L65*J66</f>
        <v>131150.17873198929</v>
      </c>
      <c r="M66" s="147"/>
      <c r="N66" s="148">
        <f>L66-H66</f>
        <v>4085.1406319892994</v>
      </c>
      <c r="O66" s="109">
        <f>IF((H66)=0,"",(N66/H66))</f>
        <v>3.2149997301179734E-2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1104488.4080999999</v>
      </c>
      <c r="I67" s="143"/>
      <c r="J67" s="143"/>
      <c r="K67" s="143"/>
      <c r="L67" s="146">
        <f>L65+L66</f>
        <v>1139997.7074395991</v>
      </c>
      <c r="M67" s="147"/>
      <c r="N67" s="148">
        <f>L67-H67</f>
        <v>35509.299339599209</v>
      </c>
      <c r="O67" s="109">
        <f>IF((H67)=0,"",(N67/H67))</f>
        <v>3.2149997301179657E-2</v>
      </c>
    </row>
    <row r="68" spans="1:15" s="73" customFormat="1" ht="15.75" customHeight="1" x14ac:dyDescent="0.25">
      <c r="B68" s="368" t="s">
        <v>43</v>
      </c>
      <c r="C68" s="368"/>
      <c r="D68" s="368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6" t="s">
        <v>46</v>
      </c>
      <c r="C69" s="356"/>
      <c r="D69" s="356"/>
      <c r="E69" s="155"/>
      <c r="F69" s="156"/>
      <c r="G69" s="157"/>
      <c r="H69" s="158">
        <f>SUM(H67:H68)</f>
        <v>1104488.4080999999</v>
      </c>
      <c r="I69" s="159"/>
      <c r="J69" s="159"/>
      <c r="K69" s="159"/>
      <c r="L69" s="160">
        <f>SUM(L67:L68)</f>
        <v>1139997.7074395991</v>
      </c>
      <c r="M69" s="161"/>
      <c r="N69" s="162">
        <f>L69-H69</f>
        <v>35509.299339599209</v>
      </c>
      <c r="O69" s="163">
        <f>IF((H69)=0,"",(N69/H69))</f>
        <v>3.2149997301179657E-2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v>5.0000000000000001E-3</v>
      </c>
      <c r="J72" s="307">
        <v>4.6999999999999999E-4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51">
        <v>42125</v>
      </c>
      <c r="O5" s="351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72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0.33</v>
      </c>
      <c r="G21" s="26">
        <v>1</v>
      </c>
      <c r="H21" s="27">
        <f>G21*F21</f>
        <v>0.33</v>
      </c>
      <c r="I21" s="28"/>
      <c r="J21" s="173">
        <v>0.3669</v>
      </c>
      <c r="K21" s="30">
        <v>1</v>
      </c>
      <c r="L21" s="27">
        <f>K21*J21</f>
        <v>0.3669</v>
      </c>
      <c r="M21" s="28"/>
      <c r="N21" s="31">
        <f>L21-H21</f>
        <v>3.6899999999999988E-2</v>
      </c>
      <c r="O21" s="32">
        <f>IF((H21)=0,"",(N21/H21))</f>
        <v>0.11181818181818177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v>-2.0799999999999999E-2</v>
      </c>
      <c r="G25" s="179">
        <f>$H$16</f>
        <v>1</v>
      </c>
      <c r="H25" s="27">
        <f t="shared" si="0"/>
        <v>-2.0799999999999999E-2</v>
      </c>
      <c r="I25" s="28"/>
      <c r="J25" s="29"/>
      <c r="K25" s="179">
        <f>$H$16</f>
        <v>1</v>
      </c>
      <c r="L25" s="27">
        <f t="shared" si="1"/>
        <v>0</v>
      </c>
      <c r="M25" s="28"/>
      <c r="N25" s="31">
        <f t="shared" si="2"/>
        <v>2.0799999999999999E-2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173"/>
      <c r="G26" s="179">
        <f>$H$16</f>
        <v>1</v>
      </c>
      <c r="H26" s="27">
        <f t="shared" si="0"/>
        <v>0</v>
      </c>
      <c r="I26" s="28"/>
      <c r="J26" s="308">
        <v>-0.21231825684145936</v>
      </c>
      <c r="K26" s="179">
        <f>$H$16</f>
        <v>1</v>
      </c>
      <c r="L26" s="27">
        <f t="shared" si="1"/>
        <v>-0.21231825684145936</v>
      </c>
      <c r="M26" s="28"/>
      <c r="N26" s="31">
        <f t="shared" si="2"/>
        <v>-0.21231825684145936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v>8.6831999999999994</v>
      </c>
      <c r="G27" s="179">
        <f>$H$16</f>
        <v>1</v>
      </c>
      <c r="H27" s="27">
        <f t="shared" si="0"/>
        <v>8.6831999999999994</v>
      </c>
      <c r="I27" s="28"/>
      <c r="J27" s="29">
        <v>9.8373000000000008</v>
      </c>
      <c r="K27" s="179">
        <f>$H$16</f>
        <v>1</v>
      </c>
      <c r="L27" s="27">
        <f t="shared" si="1"/>
        <v>9.8373000000000008</v>
      </c>
      <c r="M27" s="28"/>
      <c r="N27" s="31">
        <f t="shared" si="2"/>
        <v>1.1541000000000015</v>
      </c>
      <c r="O27" s="32">
        <f t="shared" si="3"/>
        <v>0.13291182974018811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8.9923999999999999</v>
      </c>
      <c r="I37" s="41"/>
      <c r="J37" s="43"/>
      <c r="K37" s="43"/>
      <c r="L37" s="40">
        <f>SUM(L21:L36)</f>
        <v>9.9918817431585421</v>
      </c>
      <c r="M37" s="41"/>
      <c r="N37" s="44">
        <f t="shared" si="2"/>
        <v>0.9994817431585421</v>
      </c>
      <c r="O37" s="45">
        <f t="shared" si="3"/>
        <v>0.11114738480923247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v>-0.51990000000000003</v>
      </c>
      <c r="G38" s="179">
        <f>G27</f>
        <v>1</v>
      </c>
      <c r="H38" s="27">
        <f t="shared" ref="H38:H44" si="6">G38*F38</f>
        <v>-0.51990000000000003</v>
      </c>
      <c r="I38" s="28"/>
      <c r="J38" s="29">
        <v>0.7112506112328717</v>
      </c>
      <c r="K38" s="179">
        <f>H16</f>
        <v>1</v>
      </c>
      <c r="L38" s="27">
        <f t="shared" ref="L38:L44" si="7">K38*J38</f>
        <v>0.7112506112328717</v>
      </c>
      <c r="M38" s="28"/>
      <c r="N38" s="31">
        <f t="shared" ref="N38:N44" si="8">L38-H38</f>
        <v>1.2311506112328718</v>
      </c>
      <c r="O38" s="32">
        <f t="shared" ref="O38:O43" si="9">IF((H38)=0,"",(N38/H38))</f>
        <v>-2.3680527240486091</v>
      </c>
    </row>
    <row r="39" spans="2:15" ht="15" hidden="1" x14ac:dyDescent="0.25">
      <c r="B39" s="296"/>
      <c r="C39" s="22"/>
      <c r="D39" s="23" t="s">
        <v>70</v>
      </c>
      <c r="E39" s="24"/>
      <c r="F39" s="25"/>
      <c r="G39" s="179">
        <f>H16</f>
        <v>1</v>
      </c>
      <c r="H39" s="27">
        <f t="shared" si="6"/>
        <v>0</v>
      </c>
      <c r="I39" s="47"/>
      <c r="J39" s="29"/>
      <c r="K39" s="179">
        <f>H16</f>
        <v>1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5" hidden="1" x14ac:dyDescent="0.25">
      <c r="B40" s="296"/>
      <c r="C40" s="22"/>
      <c r="D40" s="23" t="s">
        <v>70</v>
      </c>
      <c r="E40" s="24"/>
      <c r="F40" s="25"/>
      <c r="G40" s="179">
        <f>H16</f>
        <v>1</v>
      </c>
      <c r="H40" s="27">
        <f t="shared" si="6"/>
        <v>0</v>
      </c>
      <c r="I40" s="47"/>
      <c r="J40" s="29"/>
      <c r="K40" s="179">
        <f>H16</f>
        <v>1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" customHeight="1" x14ac:dyDescent="0.25">
      <c r="B41" s="296" t="s">
        <v>74</v>
      </c>
      <c r="C41" s="22"/>
      <c r="D41" s="23" t="s">
        <v>70</v>
      </c>
      <c r="E41" s="24"/>
      <c r="F41" s="29">
        <v>0.21390000000000001</v>
      </c>
      <c r="G41" s="179">
        <f>H16</f>
        <v>1</v>
      </c>
      <c r="H41" s="27">
        <f t="shared" si="6"/>
        <v>0.21390000000000001</v>
      </c>
      <c r="I41" s="47"/>
      <c r="J41" s="29">
        <v>1.1196184411309043</v>
      </c>
      <c r="K41" s="179">
        <f>H16</f>
        <v>1</v>
      </c>
      <c r="L41" s="27">
        <f t="shared" si="7"/>
        <v>1.1196184411309043</v>
      </c>
      <c r="M41" s="48"/>
      <c r="N41" s="31">
        <f t="shared" si="8"/>
        <v>0.90571844113090427</v>
      </c>
      <c r="O41" s="32">
        <f t="shared" si="9"/>
        <v>4.2343078126736993</v>
      </c>
    </row>
    <row r="42" spans="2:15" x14ac:dyDescent="0.3">
      <c r="B42" s="49" t="s">
        <v>24</v>
      </c>
      <c r="C42" s="22"/>
      <c r="D42" s="23" t="s">
        <v>70</v>
      </c>
      <c r="E42" s="24"/>
      <c r="F42" s="25">
        <v>3.4099999999999998E-2</v>
      </c>
      <c r="G42" s="179">
        <f>H16</f>
        <v>1</v>
      </c>
      <c r="H42" s="27">
        <f t="shared" si="6"/>
        <v>3.4099999999999998E-2</v>
      </c>
      <c r="I42" s="28"/>
      <c r="J42" s="29">
        <v>5.8099999999999999E-2</v>
      </c>
      <c r="K42" s="179">
        <f>H16</f>
        <v>1</v>
      </c>
      <c r="L42" s="27">
        <f t="shared" si="7"/>
        <v>5.8099999999999999E-2</v>
      </c>
      <c r="M42" s="28"/>
      <c r="N42" s="31">
        <f t="shared" si="8"/>
        <v>2.4E-2</v>
      </c>
      <c r="O42" s="32">
        <f t="shared" si="9"/>
        <v>0.70381231671554256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6.0600000000000023</v>
      </c>
      <c r="H43" s="184">
        <f t="shared" si="6"/>
        <v>0.45450000000000013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5.4300000000000068</v>
      </c>
      <c r="L43" s="184">
        <f t="shared" si="7"/>
        <v>0.4072500000000005</v>
      </c>
      <c r="M43" s="57"/>
      <c r="N43" s="186">
        <f t="shared" si="8"/>
        <v>-4.7249999999999626E-2</v>
      </c>
      <c r="O43" s="187">
        <f t="shared" si="9"/>
        <v>-0.10396039603960311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9.1750000000000007</v>
      </c>
      <c r="I45" s="41"/>
      <c r="J45" s="53"/>
      <c r="K45" s="55"/>
      <c r="L45" s="54">
        <f>SUM(L38:L44)+L37</f>
        <v>12.288100795522318</v>
      </c>
      <c r="M45" s="41"/>
      <c r="N45" s="44">
        <f t="shared" ref="N45:N63" si="10">L45-H45</f>
        <v>3.1131007955223176</v>
      </c>
      <c r="O45" s="45">
        <f t="shared" ref="O45:O63" si="11">IF((H45)=0,"",(N45/H45))</f>
        <v>0.33930253902150598</v>
      </c>
    </row>
    <row r="46" spans="2:1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289">
        <f>H16</f>
        <v>1</v>
      </c>
      <c r="H46" s="27">
        <f>G46*F46</f>
        <v>2.1436999999999999</v>
      </c>
      <c r="I46" s="28"/>
      <c r="J46" s="263">
        <v>2.0924</v>
      </c>
      <c r="K46" s="290">
        <f>+G46</f>
        <v>1</v>
      </c>
      <c r="L46" s="27">
        <f>K46*J46</f>
        <v>2.0924</v>
      </c>
      <c r="M46" s="28"/>
      <c r="N46" s="31">
        <f t="shared" si="10"/>
        <v>-5.1299999999999901E-2</v>
      </c>
      <c r="O46" s="32">
        <f t="shared" si="11"/>
        <v>-2.3930587302327704E-2</v>
      </c>
    </row>
    <row r="47" spans="2:1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289">
        <f>G46</f>
        <v>1</v>
      </c>
      <c r="H47" s="27">
        <f>G47*F47</f>
        <v>0.63100000000000001</v>
      </c>
      <c r="I47" s="28"/>
      <c r="J47" s="263">
        <v>0.621</v>
      </c>
      <c r="K47" s="290">
        <f>K46</f>
        <v>1</v>
      </c>
      <c r="L47" s="27">
        <f>K47*J47</f>
        <v>0.621</v>
      </c>
      <c r="M47" s="28"/>
      <c r="N47" s="31">
        <f t="shared" si="10"/>
        <v>-1.0000000000000009E-2</v>
      </c>
      <c r="O47" s="32">
        <f t="shared" si="11"/>
        <v>-1.5847860538827273E-2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11.9497</v>
      </c>
      <c r="I48" s="61"/>
      <c r="J48" s="62"/>
      <c r="K48" s="63"/>
      <c r="L48" s="54">
        <f>SUM(L45:L47)</f>
        <v>15.001500795522318</v>
      </c>
      <c r="M48" s="61"/>
      <c r="N48" s="44">
        <f t="shared" si="10"/>
        <v>3.0518007955223183</v>
      </c>
      <c r="O48" s="45">
        <f t="shared" si="11"/>
        <v>0.25538723110390371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156.06</v>
      </c>
      <c r="H49" s="66">
        <f t="shared" ref="H49:H55" si="12">G49*F49</f>
        <v>0.68666400000000005</v>
      </c>
      <c r="I49" s="28"/>
      <c r="J49" s="263">
        <f>+F49</f>
        <v>4.4000000000000003E-3</v>
      </c>
      <c r="K49" s="29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156.06</v>
      </c>
      <c r="H50" s="66">
        <f t="shared" si="12"/>
        <v>0.202878</v>
      </c>
      <c r="I50" s="28"/>
      <c r="J50" s="263">
        <f>+F50</f>
        <v>1.2999999999999999E-3</v>
      </c>
      <c r="K50" s="29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263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150</v>
      </c>
      <c r="H53" s="66">
        <f t="shared" si="12"/>
        <v>14.327999999999999</v>
      </c>
      <c r="I53" s="28"/>
      <c r="J53" s="263">
        <f>+F53</f>
        <v>9.5519999999999994E-2</v>
      </c>
      <c r="K53" s="69">
        <f>F16</f>
        <v>150</v>
      </c>
      <c r="L53" s="66">
        <f t="shared" si="13"/>
        <v>14.327999999999999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28.467241999999999</v>
      </c>
      <c r="I59" s="95"/>
      <c r="J59" s="96"/>
      <c r="K59" s="96"/>
      <c r="L59" s="94">
        <f>SUM(L49:L55,L48)</f>
        <v>31.515451795522317</v>
      </c>
      <c r="M59" s="97"/>
      <c r="N59" s="98">
        <f>L59-H59</f>
        <v>3.0482097955223182</v>
      </c>
      <c r="O59" s="99">
        <f>IF((H59)=0,"",(N59/H59))</f>
        <v>0.10707780527254163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3.7007414600000001</v>
      </c>
      <c r="I60" s="104"/>
      <c r="J60" s="105">
        <v>0.13</v>
      </c>
      <c r="K60" s="104"/>
      <c r="L60" s="106">
        <f>L59*J60</f>
        <v>4.0970087334179013</v>
      </c>
      <c r="M60" s="107"/>
      <c r="N60" s="108">
        <f t="shared" si="10"/>
        <v>0.39626727341790113</v>
      </c>
      <c r="O60" s="109">
        <f t="shared" si="11"/>
        <v>0.10707780527254156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32.167983460000002</v>
      </c>
      <c r="I61" s="104"/>
      <c r="J61" s="104"/>
      <c r="K61" s="104"/>
      <c r="L61" s="106">
        <f>L59+L60</f>
        <v>35.612460528940218</v>
      </c>
      <c r="M61" s="107"/>
      <c r="N61" s="108">
        <f t="shared" si="10"/>
        <v>3.4444770689402162</v>
      </c>
      <c r="O61" s="109">
        <f t="shared" si="11"/>
        <v>0.1070778052725415</v>
      </c>
      <c r="S61" s="72"/>
    </row>
    <row r="62" spans="2:19" ht="15.75" hidden="1" customHeight="1" x14ac:dyDescent="0.25">
      <c r="B62" s="367" t="s">
        <v>43</v>
      </c>
      <c r="C62" s="367"/>
      <c r="D62" s="367"/>
      <c r="E62" s="22"/>
      <c r="F62" s="111"/>
      <c r="G62" s="102"/>
      <c r="H62" s="112">
        <f>ROUND(-H61*10%,2)</f>
        <v>-3.22</v>
      </c>
      <c r="I62" s="104"/>
      <c r="J62" s="104"/>
      <c r="K62" s="104"/>
      <c r="L62" s="113">
        <f>ROUND(-L61*10%,2)</f>
        <v>-3.56</v>
      </c>
      <c r="M62" s="107"/>
      <c r="N62" s="114">
        <f t="shared" si="10"/>
        <v>-0.33999999999999986</v>
      </c>
      <c r="O62" s="115">
        <f t="shared" si="11"/>
        <v>0.10559006211180119</v>
      </c>
    </row>
    <row r="63" spans="2:19" ht="15" hidden="1" x14ac:dyDescent="0.25">
      <c r="B63" s="364" t="s">
        <v>44</v>
      </c>
      <c r="C63" s="364"/>
      <c r="D63" s="364"/>
      <c r="E63" s="116"/>
      <c r="F63" s="117"/>
      <c r="G63" s="118"/>
      <c r="H63" s="119">
        <f>H61+H62</f>
        <v>28.947983460000003</v>
      </c>
      <c r="I63" s="120"/>
      <c r="J63" s="120"/>
      <c r="K63" s="120"/>
      <c r="L63" s="121">
        <f>L61+L62</f>
        <v>32.052460528940216</v>
      </c>
      <c r="M63" s="122"/>
      <c r="N63" s="123">
        <f t="shared" si="10"/>
        <v>3.1044770689402128</v>
      </c>
      <c r="O63" s="124">
        <f t="shared" si="11"/>
        <v>0.10724329289568457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28.467241999999999</v>
      </c>
      <c r="I65" s="136"/>
      <c r="J65" s="137"/>
      <c r="K65" s="137"/>
      <c r="L65" s="189">
        <f>SUM(L53,L48,L49:L52)</f>
        <v>31.515451795522317</v>
      </c>
      <c r="M65" s="138"/>
      <c r="N65" s="139">
        <f>L65-H65</f>
        <v>3.0482097955223182</v>
      </c>
      <c r="O65" s="99">
        <f>IF((H65)=0,"",(N65/H65))</f>
        <v>0.10707780527254163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3.7007414600000001</v>
      </c>
      <c r="I66" s="143"/>
      <c r="J66" s="144">
        <v>0.13</v>
      </c>
      <c r="K66" s="145"/>
      <c r="L66" s="146">
        <f>L65*J66</f>
        <v>4.0970087334179013</v>
      </c>
      <c r="M66" s="147"/>
      <c r="N66" s="148">
        <f>L66-H66</f>
        <v>0.39626727341790113</v>
      </c>
      <c r="O66" s="109">
        <f>IF((H66)=0,"",(N66/H66))</f>
        <v>0.10707780527254156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32.167983460000002</v>
      </c>
      <c r="I67" s="143"/>
      <c r="J67" s="143"/>
      <c r="K67" s="143"/>
      <c r="L67" s="146">
        <f>L65+L66</f>
        <v>35.612460528940218</v>
      </c>
      <c r="M67" s="147"/>
      <c r="N67" s="148">
        <f>L67-H67</f>
        <v>3.4444770689402162</v>
      </c>
      <c r="O67" s="109">
        <f>IF((H67)=0,"",(N67/H67))</f>
        <v>0.1070778052725415</v>
      </c>
    </row>
    <row r="68" spans="1:15" s="73" customFormat="1" ht="15.75" customHeight="1" x14ac:dyDescent="0.25">
      <c r="B68" s="368" t="s">
        <v>43</v>
      </c>
      <c r="C68" s="368"/>
      <c r="D68" s="368"/>
      <c r="E68" s="75"/>
      <c r="F68" s="150"/>
      <c r="G68" s="151"/>
      <c r="H68" s="152"/>
      <c r="I68" s="143"/>
      <c r="J68" s="143"/>
      <c r="K68" s="143"/>
      <c r="L68" s="153"/>
      <c r="M68" s="147"/>
      <c r="N68" s="148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6" t="s">
        <v>46</v>
      </c>
      <c r="C69" s="356"/>
      <c r="D69" s="356"/>
      <c r="E69" s="155"/>
      <c r="F69" s="156"/>
      <c r="G69" s="157"/>
      <c r="H69" s="158">
        <f>SUM(H67:H68)</f>
        <v>32.167983460000002</v>
      </c>
      <c r="I69" s="159"/>
      <c r="J69" s="159"/>
      <c r="K69" s="159"/>
      <c r="L69" s="160">
        <f>SUM(L67:L68)</f>
        <v>35.612460528940218</v>
      </c>
      <c r="M69" s="161"/>
      <c r="N69" s="162">
        <f>L69-H69</f>
        <v>3.4444770689402162</v>
      </c>
      <c r="O69" s="163">
        <f>IF((H69)=0,"",(N69/H69))</f>
        <v>0.1070778052725415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6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</row>
    <row r="4" spans="1:20" s="2" customFormat="1" ht="9" customHeight="1" x14ac:dyDescent="0.3">
      <c r="L4" s="3"/>
      <c r="N4" s="312"/>
      <c r="O4"/>
    </row>
    <row r="5" spans="1:20" s="2" customFormat="1" ht="15" customHeight="1" x14ac:dyDescent="0.3">
      <c r="L5" s="3" t="s">
        <v>76</v>
      </c>
      <c r="N5" s="351">
        <v>42125</v>
      </c>
      <c r="O5" s="351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59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250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250</v>
      </c>
      <c r="H25" s="27">
        <f t="shared" si="0"/>
        <v>-2.5000000000000001E-2</v>
      </c>
      <c r="I25" s="28"/>
      <c r="J25" s="173">
        <f>+'Res (100kWh)'!$J$25</f>
        <v>0</v>
      </c>
      <c r="K25" s="26">
        <f>$F$16</f>
        <v>250</v>
      </c>
      <c r="L25" s="27">
        <f t="shared" si="1"/>
        <v>0</v>
      </c>
      <c r="M25" s="28"/>
      <c r="N25" s="31">
        <f t="shared" si="2"/>
        <v>2.5000000000000001E-2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250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250</v>
      </c>
      <c r="L26" s="27">
        <f t="shared" si="1"/>
        <v>-0.15</v>
      </c>
      <c r="M26" s="28"/>
      <c r="N26" s="31">
        <f t="shared" si="2"/>
        <v>-0.15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250</v>
      </c>
      <c r="H27" s="27">
        <f t="shared" si="0"/>
        <v>4.8</v>
      </c>
      <c r="I27" s="28"/>
      <c r="J27" s="29">
        <f>+'Res (100kWh)'!$J$27</f>
        <v>2.1700000000000001E-2</v>
      </c>
      <c r="K27" s="26">
        <f>$F$16</f>
        <v>250</v>
      </c>
      <c r="L27" s="27">
        <f t="shared" si="1"/>
        <v>5.4249999999999998</v>
      </c>
      <c r="M27" s="28"/>
      <c r="N27" s="31">
        <f t="shared" si="2"/>
        <v>0.625</v>
      </c>
      <c r="O27" s="32">
        <f t="shared" si="3"/>
        <v>0.13020833333333334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250</v>
      </c>
      <c r="H28" s="27">
        <f t="shared" si="0"/>
        <v>0</v>
      </c>
      <c r="I28" s="28"/>
      <c r="J28" s="29"/>
      <c r="K28" s="26">
        <f t="shared" ref="K28:K36" si="4">$F$16</f>
        <v>250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250</v>
      </c>
      <c r="H29" s="27">
        <f t="shared" si="0"/>
        <v>0</v>
      </c>
      <c r="I29" s="28"/>
      <c r="J29" s="29"/>
      <c r="K29" s="26">
        <f t="shared" si="4"/>
        <v>250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250</v>
      </c>
      <c r="H30" s="27">
        <f t="shared" si="0"/>
        <v>0</v>
      </c>
      <c r="I30" s="28"/>
      <c r="J30" s="29"/>
      <c r="K30" s="26">
        <f t="shared" si="4"/>
        <v>250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250</v>
      </c>
      <c r="H31" s="27">
        <f t="shared" si="0"/>
        <v>0</v>
      </c>
      <c r="I31" s="28"/>
      <c r="J31" s="29"/>
      <c r="K31" s="26">
        <f t="shared" si="4"/>
        <v>250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250</v>
      </c>
      <c r="H32" s="27">
        <f t="shared" si="0"/>
        <v>0</v>
      </c>
      <c r="I32" s="28"/>
      <c r="J32" s="29"/>
      <c r="K32" s="26">
        <f t="shared" si="4"/>
        <v>250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250</v>
      </c>
      <c r="H33" s="27">
        <f t="shared" si="0"/>
        <v>0</v>
      </c>
      <c r="I33" s="28"/>
      <c r="J33" s="29"/>
      <c r="K33" s="26">
        <f t="shared" si="4"/>
        <v>250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250</v>
      </c>
      <c r="H34" s="27">
        <f t="shared" si="0"/>
        <v>0</v>
      </c>
      <c r="I34" s="28"/>
      <c r="J34" s="29"/>
      <c r="K34" s="26">
        <f t="shared" si="4"/>
        <v>250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250</v>
      </c>
      <c r="H35" s="27">
        <f t="shared" si="0"/>
        <v>0</v>
      </c>
      <c r="I35" s="28"/>
      <c r="J35" s="29"/>
      <c r="K35" s="26">
        <f t="shared" si="4"/>
        <v>250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250</v>
      </c>
      <c r="H36" s="27">
        <f t="shared" si="0"/>
        <v>0</v>
      </c>
      <c r="I36" s="28"/>
      <c r="J36" s="29"/>
      <c r="K36" s="26">
        <f t="shared" si="4"/>
        <v>250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22.085000000000001</v>
      </c>
      <c r="I37" s="41"/>
      <c r="J37" s="42"/>
      <c r="K37" s="43"/>
      <c r="L37" s="40">
        <f>SUM(L21:L36)</f>
        <v>23.060191548721075</v>
      </c>
      <c r="M37" s="41"/>
      <c r="N37" s="44">
        <f t="shared" si="2"/>
        <v>0.9751915487210745</v>
      </c>
      <c r="O37" s="45">
        <f t="shared" si="3"/>
        <v>4.4156284750784446E-2</v>
      </c>
    </row>
    <row r="38" spans="2:15" ht="15" hidden="1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250</v>
      </c>
      <c r="H39" s="27">
        <f t="shared" ref="H39:H45" si="6">G39*F39</f>
        <v>-0.35</v>
      </c>
      <c r="I39" s="28"/>
      <c r="J39" s="29">
        <f>+'Res (100kWh)'!$J$39</f>
        <v>1.6265827088216363E-3</v>
      </c>
      <c r="K39" s="26">
        <f>$F$16</f>
        <v>250</v>
      </c>
      <c r="L39" s="27">
        <f t="shared" ref="L39:L45" si="7">K39*J39</f>
        <v>0.40664567720540906</v>
      </c>
      <c r="M39" s="28"/>
      <c r="N39" s="31">
        <f t="shared" si="2"/>
        <v>0.7566456772054091</v>
      </c>
      <c r="O39" s="32">
        <f t="shared" si="3"/>
        <v>-2.1618447920154549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250</v>
      </c>
      <c r="H40" s="27">
        <f t="shared" si="6"/>
        <v>0</v>
      </c>
      <c r="I40" s="47"/>
      <c r="J40" s="29"/>
      <c r="K40" s="26">
        <f>$F$16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250</v>
      </c>
      <c r="H41" s="27">
        <f t="shared" si="6"/>
        <v>0</v>
      </c>
      <c r="I41" s="47"/>
      <c r="J41" s="29"/>
      <c r="K41" s="26">
        <f>$F$16</f>
        <v>250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250</v>
      </c>
      <c r="H42" s="27">
        <f t="shared" si="6"/>
        <v>0</v>
      </c>
      <c r="I42" s="47"/>
      <c r="J42" s="29"/>
      <c r="K42" s="26">
        <f>$F$16</f>
        <v>250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250</v>
      </c>
      <c r="H43" s="27">
        <f t="shared" si="6"/>
        <v>2.5000000000000001E-2</v>
      </c>
      <c r="I43" s="28"/>
      <c r="J43" s="29">
        <f>+'Res (100kWh)'!$J$43</f>
        <v>2.0000000000000001E-4</v>
      </c>
      <c r="K43" s="26">
        <f>$F$16</f>
        <v>250</v>
      </c>
      <c r="L43" s="27">
        <f t="shared" si="7"/>
        <v>0.05</v>
      </c>
      <c r="M43" s="28"/>
      <c r="N43" s="31">
        <f t="shared" si="2"/>
        <v>2.5000000000000001E-2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10.100000000000023</v>
      </c>
      <c r="H44" s="184">
        <f t="shared" si="6"/>
        <v>0.95950000000000213</v>
      </c>
      <c r="I44" s="57"/>
      <c r="J44" s="185">
        <f>0.64*$F$54+0.18*$F$55+0.18*$F$56</f>
        <v>9.5000000000000001E-2</v>
      </c>
      <c r="K44" s="26">
        <f>$F$16*(1+$J$73)-$F$16</f>
        <v>9.0500000000000114</v>
      </c>
      <c r="L44" s="184">
        <f t="shared" si="7"/>
        <v>0.85975000000000112</v>
      </c>
      <c r="M44" s="57"/>
      <c r="N44" s="186">
        <f t="shared" si="2"/>
        <v>-9.9750000000001005E-2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23.509500000000003</v>
      </c>
      <c r="I46" s="41"/>
      <c r="J46" s="53"/>
      <c r="K46" s="55"/>
      <c r="L46" s="54">
        <f>SUM(L38:L45)+L37</f>
        <v>25.166587225926484</v>
      </c>
      <c r="M46" s="41"/>
      <c r="N46" s="44">
        <f t="shared" si="2"/>
        <v>1.6570872259264817</v>
      </c>
      <c r="O46" s="45">
        <f t="shared" ref="O46:O64" si="8">IF((H46)=0,"",(N46/H46))</f>
        <v>7.048585575731009E-2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260.10000000000002</v>
      </c>
      <c r="H47" s="27">
        <f>G47*F47</f>
        <v>1.9767600000000001</v>
      </c>
      <c r="I47" s="28"/>
      <c r="J47" s="263">
        <f>+'Res (100kWh)'!$J$47</f>
        <v>7.4000000000000003E-3</v>
      </c>
      <c r="K47" s="70">
        <f>F16*(1+J73)</f>
        <v>259.05</v>
      </c>
      <c r="L47" s="27">
        <f>K47*J47</f>
        <v>1.9169700000000001</v>
      </c>
      <c r="M47" s="28"/>
      <c r="N47" s="31">
        <f t="shared" si="2"/>
        <v>-5.979000000000001E-2</v>
      </c>
      <c r="O47" s="32">
        <f t="shared" si="8"/>
        <v>-3.0246463910641661E-2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260.10000000000002</v>
      </c>
      <c r="H48" s="27">
        <f>G48*F48</f>
        <v>0.59823000000000004</v>
      </c>
      <c r="I48" s="28"/>
      <c r="J48" s="263">
        <f>+'Res (100kWh)'!$J$48</f>
        <v>2.3E-3</v>
      </c>
      <c r="K48" s="70">
        <f>K47</f>
        <v>259.05</v>
      </c>
      <c r="L48" s="27">
        <f>K48*J48</f>
        <v>0.59581499999999998</v>
      </c>
      <c r="M48" s="28"/>
      <c r="N48" s="31">
        <f t="shared" si="2"/>
        <v>-2.415000000000056E-3</v>
      </c>
      <c r="O48" s="32">
        <f t="shared" si="8"/>
        <v>-4.036908881199632E-3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26.084490000000002</v>
      </c>
      <c r="I49" s="61"/>
      <c r="J49" s="62"/>
      <c r="K49" s="62"/>
      <c r="L49" s="54">
        <f>SUM(L46:L48)</f>
        <v>27.679372225926485</v>
      </c>
      <c r="M49" s="61"/>
      <c r="N49" s="44">
        <f t="shared" si="2"/>
        <v>1.594882225926483</v>
      </c>
      <c r="O49" s="45">
        <f t="shared" si="8"/>
        <v>6.114293305816916E-2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260.10000000000002</v>
      </c>
      <c r="H50" s="66">
        <f t="shared" ref="H50:H56" si="9">G50*F50</f>
        <v>1.1444400000000001</v>
      </c>
      <c r="I50" s="28"/>
      <c r="J50" s="263">
        <f>+'Res (100kWh)'!$J$50</f>
        <v>4.4000000000000003E-3</v>
      </c>
      <c r="K50" s="70">
        <f>K48</f>
        <v>259.05</v>
      </c>
      <c r="L50" s="66">
        <f t="shared" ref="L50:L56" si="10">K50*J50</f>
        <v>1.1398200000000001</v>
      </c>
      <c r="M50" s="28"/>
      <c r="N50" s="31">
        <f t="shared" si="2"/>
        <v>-4.6200000000000685E-3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260.10000000000002</v>
      </c>
      <c r="H51" s="66">
        <f t="shared" si="9"/>
        <v>0.33813000000000004</v>
      </c>
      <c r="I51" s="28"/>
      <c r="J51" s="263">
        <f>+'Res (100kWh)'!$J$51</f>
        <v>1.2999999999999999E-3</v>
      </c>
      <c r="K51" s="70">
        <f>K48</f>
        <v>259.05</v>
      </c>
      <c r="L51" s="66">
        <f t="shared" si="10"/>
        <v>0.33676499999999998</v>
      </c>
      <c r="M51" s="28"/>
      <c r="N51" s="31">
        <f t="shared" si="2"/>
        <v>-1.3650000000000606E-3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250</v>
      </c>
      <c r="H53" s="66">
        <f t="shared" si="9"/>
        <v>1.75</v>
      </c>
      <c r="I53" s="28"/>
      <c r="J53" s="263">
        <f>+'Res (100kWh)'!$J$53</f>
        <v>7.0000000000000001E-3</v>
      </c>
      <c r="K53" s="70">
        <f>F16</f>
        <v>250</v>
      </c>
      <c r="L53" s="66">
        <f t="shared" si="10"/>
        <v>1.75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160</v>
      </c>
      <c r="H54" s="66">
        <f t="shared" si="9"/>
        <v>12.32</v>
      </c>
      <c r="I54" s="28"/>
      <c r="J54" s="263">
        <f>+'Res (100kWh)'!$J$54</f>
        <v>7.6999999999999999E-2</v>
      </c>
      <c r="K54" s="69">
        <f>G54</f>
        <v>160</v>
      </c>
      <c r="L54" s="66">
        <f t="shared" si="10"/>
        <v>12.32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45</v>
      </c>
      <c r="H55" s="66">
        <f t="shared" si="9"/>
        <v>5.13</v>
      </c>
      <c r="I55" s="28"/>
      <c r="J55" s="263">
        <f>+'Res (100kWh)'!$J$55</f>
        <v>0.114</v>
      </c>
      <c r="K55" s="69">
        <f>G55</f>
        <v>45</v>
      </c>
      <c r="L55" s="66">
        <f t="shared" si="10"/>
        <v>5.13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45</v>
      </c>
      <c r="H56" s="66">
        <f t="shared" si="9"/>
        <v>6.3000000000000007</v>
      </c>
      <c r="I56" s="28"/>
      <c r="J56" s="263">
        <f>+'Res (100kWh)'!$J$56</f>
        <v>0.14000000000000001</v>
      </c>
      <c r="K56" s="69">
        <f>G56</f>
        <v>45</v>
      </c>
      <c r="L56" s="66">
        <f t="shared" si="10"/>
        <v>6.3000000000000007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250</v>
      </c>
      <c r="H57" s="66">
        <f>G57*F57</f>
        <v>22</v>
      </c>
      <c r="I57" s="79"/>
      <c r="J57" s="263">
        <f>+'Res (100kWh)'!$J$57</f>
        <v>8.7999999999999995E-2</v>
      </c>
      <c r="K57" s="78">
        <f>G57</f>
        <v>250</v>
      </c>
      <c r="L57" s="66">
        <f>K57*J57</f>
        <v>22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53.317059999999998</v>
      </c>
      <c r="I60" s="95"/>
      <c r="J60" s="96"/>
      <c r="K60" s="96"/>
      <c r="L60" s="190">
        <f>SUM(L50:L56,L49)</f>
        <v>54.905957225926485</v>
      </c>
      <c r="M60" s="97"/>
      <c r="N60" s="98">
        <f>L60-H60</f>
        <v>1.5888972259264875</v>
      </c>
      <c r="O60" s="99">
        <f>IF((H60)=0,"",(N60/H60))</f>
        <v>2.980091599061328E-2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6.9312177999999998</v>
      </c>
      <c r="I61" s="104"/>
      <c r="J61" s="105">
        <v>0.13</v>
      </c>
      <c r="K61" s="104"/>
      <c r="L61" s="106">
        <f>L60*J61</f>
        <v>7.1377744393704434</v>
      </c>
      <c r="M61" s="107"/>
      <c r="N61" s="108">
        <f t="shared" si="2"/>
        <v>0.20655663937044366</v>
      </c>
      <c r="O61" s="109">
        <f t="shared" si="8"/>
        <v>2.9800915990613318E-2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60.248277799999997</v>
      </c>
      <c r="I62" s="104"/>
      <c r="J62" s="104"/>
      <c r="K62" s="104"/>
      <c r="L62" s="106">
        <f>L60+L61</f>
        <v>62.043731665296932</v>
      </c>
      <c r="M62" s="107"/>
      <c r="N62" s="108">
        <f t="shared" si="2"/>
        <v>1.7954538652969347</v>
      </c>
      <c r="O62" s="109">
        <f t="shared" si="8"/>
        <v>2.9800915990613342E-2</v>
      </c>
      <c r="S62" s="72"/>
    </row>
    <row r="63" spans="2:19" ht="15.75" customHeight="1" x14ac:dyDescent="0.3">
      <c r="B63" s="363" t="s">
        <v>43</v>
      </c>
      <c r="C63" s="363"/>
      <c r="D63" s="363"/>
      <c r="E63" s="22"/>
      <c r="F63" s="111"/>
      <c r="G63" s="102"/>
      <c r="H63" s="112">
        <f>ROUND(-H62*10%,2)</f>
        <v>-6.02</v>
      </c>
      <c r="I63" s="104"/>
      <c r="J63" s="104"/>
      <c r="K63" s="104"/>
      <c r="L63" s="113">
        <f>ROUND(-L62*10%,2)</f>
        <v>-6.2</v>
      </c>
      <c r="M63" s="107"/>
      <c r="N63" s="114">
        <f t="shared" si="2"/>
        <v>-0.1800000000000006</v>
      </c>
      <c r="O63" s="115">
        <f t="shared" si="8"/>
        <v>2.9900332225913723E-2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54.228277800000001</v>
      </c>
      <c r="I64" s="120"/>
      <c r="J64" s="120"/>
      <c r="K64" s="120"/>
      <c r="L64" s="121">
        <f>L62+L63</f>
        <v>55.843731665296929</v>
      </c>
      <c r="M64" s="122"/>
      <c r="N64" s="123">
        <f t="shared" si="2"/>
        <v>1.6154538652969279</v>
      </c>
      <c r="O64" s="124">
        <f t="shared" si="8"/>
        <v>2.9789879576388241E-2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51.567060000000005</v>
      </c>
      <c r="I66" s="136"/>
      <c r="J66" s="137"/>
      <c r="K66" s="137"/>
      <c r="L66" s="189">
        <f>SUM(L57:L58,L49,L50:L53)</f>
        <v>53.155957225926485</v>
      </c>
      <c r="M66" s="138"/>
      <c r="N66" s="139">
        <f>L66-H66</f>
        <v>1.5888972259264804</v>
      </c>
      <c r="O66" s="99">
        <f>IF((H66)=0,"",(N66/H66))</f>
        <v>3.0812251579331464E-2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6.7037178000000006</v>
      </c>
      <c r="I67" s="143"/>
      <c r="J67" s="144">
        <v>0.13</v>
      </c>
      <c r="K67" s="145"/>
      <c r="L67" s="146">
        <f>L66*J67</f>
        <v>6.9102744393704434</v>
      </c>
      <c r="M67" s="147"/>
      <c r="N67" s="148">
        <f>L67-H67</f>
        <v>0.20655663937044277</v>
      </c>
      <c r="O67" s="109">
        <f>IF((H67)=0,"",(N67/H67))</f>
        <v>3.0812251579331509E-2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58.270777800000005</v>
      </c>
      <c r="I68" s="143"/>
      <c r="J68" s="143"/>
      <c r="K68" s="143"/>
      <c r="L68" s="146">
        <f>L66+L67</f>
        <v>60.066231665296925</v>
      </c>
      <c r="M68" s="147"/>
      <c r="N68" s="148">
        <f>L68-H68</f>
        <v>1.7954538652969205</v>
      </c>
      <c r="O68" s="109">
        <f>IF((H68)=0,"",(N68/H68))</f>
        <v>3.0812251579331422E-2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-5.83</v>
      </c>
      <c r="I69" s="143"/>
      <c r="J69" s="143"/>
      <c r="K69" s="143"/>
      <c r="L69" s="153">
        <f>ROUND(-L68*10%,2)</f>
        <v>-6.01</v>
      </c>
      <c r="M69" s="147"/>
      <c r="N69" s="154">
        <f>L69-H69</f>
        <v>-0.17999999999999972</v>
      </c>
      <c r="O69" s="115">
        <f>IF((H69)=0,"",(N69/H69))</f>
        <v>3.0874785591766676E-2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52.440777800000006</v>
      </c>
      <c r="I70" s="159"/>
      <c r="J70" s="159"/>
      <c r="K70" s="159"/>
      <c r="L70" s="160">
        <f>SUM(L68:L69)</f>
        <v>54.056231665296927</v>
      </c>
      <c r="M70" s="161"/>
      <c r="N70" s="162">
        <f>L70-H70</f>
        <v>1.6154538652969208</v>
      </c>
      <c r="O70" s="163">
        <f>IF((H70)=0,"",(N70/H70))</f>
        <v>3.0805299483886005E-2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D12:O12"/>
    <mergeCell ref="N1:O1"/>
    <mergeCell ref="N2:O2"/>
    <mergeCell ref="N5:O5"/>
    <mergeCell ref="B8:O8"/>
    <mergeCell ref="B9:O9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51">
        <v>42125</v>
      </c>
      <c r="O5" s="351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72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50</v>
      </c>
      <c r="G16" s="13" t="s">
        <v>7</v>
      </c>
      <c r="H16" s="264">
        <v>0.14000000000000001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0.33</v>
      </c>
      <c r="G21" s="265">
        <v>1</v>
      </c>
      <c r="H21" s="27">
        <f>G21*F21</f>
        <v>0.33</v>
      </c>
      <c r="I21" s="28"/>
      <c r="J21" s="173">
        <v>0.3669</v>
      </c>
      <c r="K21" s="270">
        <v>1</v>
      </c>
      <c r="L21" s="27">
        <f>K21*J21</f>
        <v>0.3669</v>
      </c>
      <c r="M21" s="28"/>
      <c r="N21" s="31">
        <f>L21-H21</f>
        <v>3.6899999999999988E-2</v>
      </c>
      <c r="O21" s="32">
        <f>IF((H21)=0,"",(N21/H21))</f>
        <v>0.11181818181818177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5">
        <v>1</v>
      </c>
      <c r="H22" s="27">
        <f t="shared" ref="H22:H36" si="0">G22*F22</f>
        <v>0</v>
      </c>
      <c r="I22" s="28"/>
      <c r="J22" s="29"/>
      <c r="K22" s="27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5" hidden="1" x14ac:dyDescent="0.25">
      <c r="B23" s="175"/>
      <c r="C23" s="22"/>
      <c r="D23" s="56" t="s">
        <v>60</v>
      </c>
      <c r="E23" s="57"/>
      <c r="F23" s="173"/>
      <c r="G23" s="265">
        <v>1</v>
      </c>
      <c r="H23" s="27">
        <f t="shared" si="0"/>
        <v>0</v>
      </c>
      <c r="I23" s="28"/>
      <c r="J23" s="29"/>
      <c r="K23" s="27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5" hidden="1" x14ac:dyDescent="0.25">
      <c r="B24" s="175"/>
      <c r="C24" s="22"/>
      <c r="D24" s="56" t="s">
        <v>60</v>
      </c>
      <c r="E24" s="24"/>
      <c r="F24" s="25"/>
      <c r="G24" s="265">
        <v>1</v>
      </c>
      <c r="H24" s="27">
        <f t="shared" si="0"/>
        <v>0</v>
      </c>
      <c r="I24" s="28"/>
      <c r="J24" s="173"/>
      <c r="K24" s="27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v>-2.0799999999999999E-2</v>
      </c>
      <c r="G25" s="265">
        <f>$H$16</f>
        <v>0.14000000000000001</v>
      </c>
      <c r="H25" s="27">
        <f t="shared" si="0"/>
        <v>-2.9120000000000001E-3</v>
      </c>
      <c r="I25" s="28"/>
      <c r="J25" s="29"/>
      <c r="K25" s="265">
        <f>$H$16</f>
        <v>0.14000000000000001</v>
      </c>
      <c r="L25" s="27">
        <f t="shared" si="1"/>
        <v>0</v>
      </c>
      <c r="M25" s="28"/>
      <c r="N25" s="31">
        <f t="shared" si="2"/>
        <v>2.9120000000000001E-3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173"/>
      <c r="G26" s="265">
        <f>$H$16</f>
        <v>0.14000000000000001</v>
      </c>
      <c r="H26" s="27">
        <f t="shared" si="0"/>
        <v>0</v>
      </c>
      <c r="I26" s="28"/>
      <c r="J26" s="308">
        <v>-0.21231825684145936</v>
      </c>
      <c r="K26" s="265">
        <f>$H$16</f>
        <v>0.14000000000000001</v>
      </c>
      <c r="L26" s="27">
        <f t="shared" si="1"/>
        <v>-2.9724555957804311E-2</v>
      </c>
      <c r="M26" s="28"/>
      <c r="N26" s="31">
        <f t="shared" si="2"/>
        <v>-2.9724555957804311E-2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v>8.6831999999999994</v>
      </c>
      <c r="G27" s="265">
        <f>$H$16</f>
        <v>0.14000000000000001</v>
      </c>
      <c r="H27" s="27">
        <f t="shared" si="0"/>
        <v>1.2156480000000001</v>
      </c>
      <c r="I27" s="28"/>
      <c r="J27" s="29">
        <v>9.8373000000000008</v>
      </c>
      <c r="K27" s="265">
        <f>$H$16</f>
        <v>0.14000000000000001</v>
      </c>
      <c r="L27" s="27">
        <f t="shared" si="1"/>
        <v>1.3772220000000002</v>
      </c>
      <c r="M27" s="28"/>
      <c r="N27" s="31">
        <f t="shared" si="2"/>
        <v>0.16157400000000011</v>
      </c>
      <c r="O27" s="32">
        <f t="shared" si="3"/>
        <v>0.13291182974018803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5">
        <f>$F$16</f>
        <v>50</v>
      </c>
      <c r="H28" s="27">
        <f t="shared" si="0"/>
        <v>0</v>
      </c>
      <c r="I28" s="28"/>
      <c r="J28" s="29"/>
      <c r="K28" s="265">
        <f t="shared" ref="K28:K36" si="4">$F$16</f>
        <v>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5">
        <f>$F$16</f>
        <v>50</v>
      </c>
      <c r="H29" s="27">
        <f t="shared" si="0"/>
        <v>0</v>
      </c>
      <c r="I29" s="28"/>
      <c r="J29" s="29"/>
      <c r="K29" s="265">
        <f t="shared" si="4"/>
        <v>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5">
        <f t="shared" ref="G30:G36" si="5">$F$16</f>
        <v>50</v>
      </c>
      <c r="H30" s="27">
        <f t="shared" si="0"/>
        <v>0</v>
      </c>
      <c r="I30" s="28"/>
      <c r="J30" s="29"/>
      <c r="K30" s="265">
        <f t="shared" si="4"/>
        <v>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5">
        <f t="shared" si="5"/>
        <v>50</v>
      </c>
      <c r="H31" s="27">
        <f t="shared" si="0"/>
        <v>0</v>
      </c>
      <c r="I31" s="28"/>
      <c r="J31" s="29"/>
      <c r="K31" s="265">
        <f t="shared" si="4"/>
        <v>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5">
        <f t="shared" si="5"/>
        <v>50</v>
      </c>
      <c r="H32" s="27">
        <f t="shared" si="0"/>
        <v>0</v>
      </c>
      <c r="I32" s="28"/>
      <c r="J32" s="29"/>
      <c r="K32" s="265">
        <f t="shared" si="4"/>
        <v>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5">
        <f t="shared" si="5"/>
        <v>50</v>
      </c>
      <c r="H33" s="27">
        <f t="shared" si="0"/>
        <v>0</v>
      </c>
      <c r="I33" s="28"/>
      <c r="J33" s="29"/>
      <c r="K33" s="265">
        <f t="shared" si="4"/>
        <v>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5">
        <f t="shared" si="5"/>
        <v>50</v>
      </c>
      <c r="H34" s="27">
        <f t="shared" si="0"/>
        <v>0</v>
      </c>
      <c r="I34" s="28"/>
      <c r="J34" s="29"/>
      <c r="K34" s="265">
        <f t="shared" si="4"/>
        <v>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5">
        <f t="shared" si="5"/>
        <v>50</v>
      </c>
      <c r="H35" s="27">
        <f t="shared" si="0"/>
        <v>0</v>
      </c>
      <c r="I35" s="28"/>
      <c r="J35" s="29"/>
      <c r="K35" s="265">
        <f t="shared" si="4"/>
        <v>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5">
        <f t="shared" si="5"/>
        <v>50</v>
      </c>
      <c r="H36" s="27">
        <f t="shared" si="0"/>
        <v>0</v>
      </c>
      <c r="I36" s="28"/>
      <c r="J36" s="29"/>
      <c r="K36" s="265">
        <f t="shared" si="4"/>
        <v>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266"/>
      <c r="H37" s="40">
        <f>SUM(H21:H36)</f>
        <v>1.5427360000000001</v>
      </c>
      <c r="I37" s="41"/>
      <c r="J37" s="271"/>
      <c r="K37" s="271"/>
      <c r="L37" s="40">
        <f>SUM(L21:L36)</f>
        <v>1.7143974440421959</v>
      </c>
      <c r="M37" s="41"/>
      <c r="N37" s="44">
        <f t="shared" si="2"/>
        <v>0.17166144404219574</v>
      </c>
      <c r="O37" s="45">
        <f t="shared" si="3"/>
        <v>0.11127078388149089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v>-0.51990000000000003</v>
      </c>
      <c r="G38" s="265">
        <f>G27</f>
        <v>0.14000000000000001</v>
      </c>
      <c r="H38" s="27">
        <f t="shared" ref="H38:H44" si="6">G38*F38</f>
        <v>-7.2786000000000017E-2</v>
      </c>
      <c r="I38" s="28"/>
      <c r="J38" s="29">
        <v>0.7112506112328717</v>
      </c>
      <c r="K38" s="265">
        <f>H16</f>
        <v>0.14000000000000001</v>
      </c>
      <c r="L38" s="27">
        <f t="shared" ref="L38:L44" si="7">K38*J38</f>
        <v>9.9575085572602043E-2</v>
      </c>
      <c r="M38" s="28"/>
      <c r="N38" s="31">
        <f t="shared" si="2"/>
        <v>0.17236108557260205</v>
      </c>
      <c r="O38" s="32">
        <f t="shared" si="3"/>
        <v>-2.3680527240486082</v>
      </c>
    </row>
    <row r="39" spans="2:15" ht="15" hidden="1" x14ac:dyDescent="0.25">
      <c r="B39" s="296"/>
      <c r="C39" s="22"/>
      <c r="D39" s="23" t="s">
        <v>70</v>
      </c>
      <c r="E39" s="24"/>
      <c r="F39" s="25"/>
      <c r="G39" s="265">
        <f>H16</f>
        <v>0.14000000000000001</v>
      </c>
      <c r="H39" s="27">
        <f t="shared" si="6"/>
        <v>0</v>
      </c>
      <c r="I39" s="47"/>
      <c r="J39" s="29"/>
      <c r="K39" s="265">
        <f>H16</f>
        <v>0.14000000000000001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5" hidden="1" x14ac:dyDescent="0.25">
      <c r="B40" s="296"/>
      <c r="C40" s="22"/>
      <c r="D40" s="23" t="s">
        <v>70</v>
      </c>
      <c r="E40" s="24"/>
      <c r="F40" s="25"/>
      <c r="G40" s="265">
        <f>H16</f>
        <v>0.14000000000000001</v>
      </c>
      <c r="H40" s="27">
        <f t="shared" si="6"/>
        <v>0</v>
      </c>
      <c r="I40" s="47"/>
      <c r="J40" s="29"/>
      <c r="K40" s="265">
        <f>H16</f>
        <v>0.14000000000000001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" customHeight="1" x14ac:dyDescent="0.25">
      <c r="B41" s="296" t="s">
        <v>74</v>
      </c>
      <c r="C41" s="22"/>
      <c r="D41" s="23" t="s">
        <v>70</v>
      </c>
      <c r="E41" s="24"/>
      <c r="F41" s="29">
        <v>0.21390000000000001</v>
      </c>
      <c r="G41" s="265">
        <f>H16</f>
        <v>0.14000000000000001</v>
      </c>
      <c r="H41" s="27">
        <f t="shared" si="6"/>
        <v>2.9946000000000004E-2</v>
      </c>
      <c r="I41" s="47"/>
      <c r="J41" s="29">
        <v>1.1196184411309043</v>
      </c>
      <c r="K41" s="265">
        <f>H16</f>
        <v>0.14000000000000001</v>
      </c>
      <c r="L41" s="27">
        <f t="shared" si="7"/>
        <v>0.15674658175832662</v>
      </c>
      <c r="M41" s="48"/>
      <c r="N41" s="31">
        <f t="shared" si="2"/>
        <v>0.12680058175832662</v>
      </c>
      <c r="O41" s="32">
        <f t="shared" si="3"/>
        <v>4.2343078126736993</v>
      </c>
    </row>
    <row r="42" spans="2:15" x14ac:dyDescent="0.3">
      <c r="B42" s="49" t="s">
        <v>24</v>
      </c>
      <c r="C42" s="22"/>
      <c r="D42" s="23" t="s">
        <v>70</v>
      </c>
      <c r="E42" s="24"/>
      <c r="F42" s="25">
        <v>3.4099999999999998E-2</v>
      </c>
      <c r="G42" s="265">
        <f>H16</f>
        <v>0.14000000000000001</v>
      </c>
      <c r="H42" s="27">
        <f t="shared" si="6"/>
        <v>4.7740000000000005E-3</v>
      </c>
      <c r="I42" s="28"/>
      <c r="J42" s="29">
        <v>5.8099999999999999E-2</v>
      </c>
      <c r="K42" s="265">
        <f>H16</f>
        <v>0.14000000000000001</v>
      </c>
      <c r="L42" s="27">
        <f t="shared" si="7"/>
        <v>8.1340000000000006E-3</v>
      </c>
      <c r="M42" s="28"/>
      <c r="N42" s="31">
        <f t="shared" si="2"/>
        <v>3.3600000000000001E-3</v>
      </c>
      <c r="O42" s="32">
        <f t="shared" si="3"/>
        <v>0.70381231671554245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5">
        <f>$F$16*(1+$F$72)-$F$16</f>
        <v>2.019999999999996</v>
      </c>
      <c r="H43" s="184">
        <f t="shared" si="6"/>
        <v>0.15149999999999969</v>
      </c>
      <c r="I43" s="57"/>
      <c r="J43" s="185">
        <f>IF(ISBLANK(D14)=TRUE, 0, IF(D14="TOU", 0.64*$F$53+0.18*$F$54+0.18*$F$55, IF(AND(D14="non-TOU", K57&gt;0), J57,J56)))</f>
        <v>7.4999999999999997E-2</v>
      </c>
      <c r="K43" s="265">
        <f>$F$16*(1+$J$72)-$F$16</f>
        <v>1.8100000000000023</v>
      </c>
      <c r="L43" s="184">
        <f t="shared" si="7"/>
        <v>0.13575000000000018</v>
      </c>
      <c r="M43" s="57"/>
      <c r="N43" s="186">
        <f t="shared" si="2"/>
        <v>-1.5749999999999514E-2</v>
      </c>
      <c r="O43" s="187">
        <f t="shared" si="3"/>
        <v>-0.10396039603960097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5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1.6561699999999997</v>
      </c>
      <c r="I45" s="41"/>
      <c r="J45" s="288"/>
      <c r="K45" s="55"/>
      <c r="L45" s="54">
        <f>SUM(L38:L44)+L37</f>
        <v>2.1146031113731247</v>
      </c>
      <c r="M45" s="41"/>
      <c r="N45" s="44">
        <f t="shared" si="2"/>
        <v>0.45843311137312504</v>
      </c>
      <c r="O45" s="45">
        <f t="shared" ref="O45:O63" si="8">IF((H45)=0,"",(N45/H45))</f>
        <v>0.27680317320874376</v>
      </c>
    </row>
    <row r="46" spans="2:1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309">
        <f>H16</f>
        <v>0.14000000000000001</v>
      </c>
      <c r="H46" s="27">
        <f>G46*F46</f>
        <v>0.300118</v>
      </c>
      <c r="I46" s="28"/>
      <c r="J46" s="263">
        <v>2.0924</v>
      </c>
      <c r="K46" s="310">
        <f>+G46</f>
        <v>0.14000000000000001</v>
      </c>
      <c r="L46" s="27">
        <f>K46*J46</f>
        <v>0.29293600000000003</v>
      </c>
      <c r="M46" s="28"/>
      <c r="N46" s="31">
        <f t="shared" si="2"/>
        <v>-7.1819999999999662E-3</v>
      </c>
      <c r="O46" s="32">
        <f t="shared" si="8"/>
        <v>-2.3930587302327638E-2</v>
      </c>
    </row>
    <row r="47" spans="2:1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309">
        <f>G46</f>
        <v>0.14000000000000001</v>
      </c>
      <c r="H47" s="27">
        <f>G47*F47</f>
        <v>8.8340000000000016E-2</v>
      </c>
      <c r="I47" s="28"/>
      <c r="J47" s="263">
        <v>0.621</v>
      </c>
      <c r="K47" s="310">
        <f>K46</f>
        <v>0.14000000000000001</v>
      </c>
      <c r="L47" s="27">
        <f>K47*J47</f>
        <v>8.6940000000000003E-2</v>
      </c>
      <c r="M47" s="28"/>
      <c r="N47" s="31">
        <f t="shared" si="2"/>
        <v>-1.4000000000000123E-3</v>
      </c>
      <c r="O47" s="32">
        <f t="shared" si="8"/>
        <v>-1.5847860538827394E-2</v>
      </c>
    </row>
    <row r="48" spans="2:15" x14ac:dyDescent="0.3">
      <c r="B48" s="50" t="s">
        <v>30</v>
      </c>
      <c r="C48" s="36"/>
      <c r="D48" s="36"/>
      <c r="E48" s="36"/>
      <c r="F48" s="60"/>
      <c r="G48" s="267"/>
      <c r="H48" s="54">
        <f>SUM(H45:H47)</f>
        <v>2.0446279999999999</v>
      </c>
      <c r="I48" s="61"/>
      <c r="J48" s="62"/>
      <c r="K48" s="269"/>
      <c r="L48" s="54">
        <f>SUM(L45:L47)</f>
        <v>2.4944791113731246</v>
      </c>
      <c r="M48" s="61"/>
      <c r="N48" s="44">
        <f t="shared" si="2"/>
        <v>0.44985111137312472</v>
      </c>
      <c r="O48" s="45">
        <f t="shared" si="8"/>
        <v>0.22001611607252017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309">
        <f>F16*(1+F72)</f>
        <v>52.019999999999996</v>
      </c>
      <c r="H49" s="66">
        <f t="shared" ref="H49:H55" si="9">G49*F49</f>
        <v>0.22888800000000001</v>
      </c>
      <c r="I49" s="28"/>
      <c r="J49" s="263">
        <f>+F49</f>
        <v>4.4000000000000003E-3</v>
      </c>
      <c r="K49" s="310">
        <f>F16*(1+J72)</f>
        <v>51.81</v>
      </c>
      <c r="L49" s="66">
        <f t="shared" ref="L49:L55" si="10">K49*J49</f>
        <v>0.22796400000000003</v>
      </c>
      <c r="M49" s="28"/>
      <c r="N49" s="31">
        <f t="shared" si="2"/>
        <v>-9.2399999999998039E-4</v>
      </c>
      <c r="O49" s="68">
        <f t="shared" si="8"/>
        <v>-4.0369088811994525E-3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309">
        <f>G49</f>
        <v>52.019999999999996</v>
      </c>
      <c r="H50" s="66">
        <f t="shared" si="9"/>
        <v>6.7625999999999992E-2</v>
      </c>
      <c r="I50" s="28"/>
      <c r="J50" s="263">
        <f>+F50</f>
        <v>1.2999999999999999E-3</v>
      </c>
      <c r="K50" s="310">
        <f>K49</f>
        <v>51.81</v>
      </c>
      <c r="L50" s="66">
        <f t="shared" si="10"/>
        <v>6.7352999999999996E-2</v>
      </c>
      <c r="M50" s="28"/>
      <c r="N50" s="31">
        <f t="shared" si="2"/>
        <v>-2.7299999999999547E-4</v>
      </c>
      <c r="O50" s="68">
        <f t="shared" si="8"/>
        <v>-4.0369088811994724E-3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5">
        <v>1</v>
      </c>
      <c r="H51" s="66">
        <f t="shared" si="9"/>
        <v>0.25</v>
      </c>
      <c r="I51" s="28"/>
      <c r="J51" s="283">
        <f>+F51</f>
        <v>0.25</v>
      </c>
      <c r="K51" s="27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265">
        <f>F16</f>
        <v>50</v>
      </c>
      <c r="H52" s="66">
        <f t="shared" si="9"/>
        <v>0.35000000000000003</v>
      </c>
      <c r="I52" s="28"/>
      <c r="J52" s="263">
        <f>+F52</f>
        <v>7.0000000000000001E-3</v>
      </c>
      <c r="K52" s="270">
        <f>F16</f>
        <v>50</v>
      </c>
      <c r="L52" s="66">
        <f t="shared" si="10"/>
        <v>0.35000000000000003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265">
        <f>F16</f>
        <v>50</v>
      </c>
      <c r="H53" s="66">
        <f t="shared" si="9"/>
        <v>4.7759999999999998</v>
      </c>
      <c r="I53" s="28"/>
      <c r="J53" s="263">
        <f>+F53</f>
        <v>9.5519999999999994E-2</v>
      </c>
      <c r="K53" s="265">
        <f>F16</f>
        <v>50</v>
      </c>
      <c r="L53" s="66">
        <f t="shared" si="10"/>
        <v>4.7759999999999998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265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265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80" t="s">
        <v>38</v>
      </c>
      <c r="C56" s="75"/>
      <c r="D56" s="76"/>
      <c r="E56" s="77"/>
      <c r="F56" s="71">
        <v>7.4999999999999997E-2</v>
      </c>
      <c r="G56" s="268">
        <f>IF(AND($T$1=1, F16&gt;=600), 600, IF(AND($T$1=1, AND(F16&lt;600, F16&gt;=0)), F16, IF(AND($T$1=2, F16&gt;=1000), 1000, IF(AND($T$1=2, AND(F16&lt;1000, F16&gt;=0)), F16))))</f>
        <v>50</v>
      </c>
      <c r="H56" s="66">
        <f>G56*F56</f>
        <v>3.75</v>
      </c>
      <c r="I56" s="79"/>
      <c r="J56" s="65">
        <v>7.4999999999999997E-2</v>
      </c>
      <c r="K56" s="78">
        <f>G56</f>
        <v>50</v>
      </c>
      <c r="L56" s="66">
        <f>K56*J56</f>
        <v>3.75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26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7.7171419999999991</v>
      </c>
      <c r="I59" s="95"/>
      <c r="J59" s="96"/>
      <c r="K59" s="96"/>
      <c r="L59" s="94">
        <f>SUM(L49:L55,L48)</f>
        <v>8.1657961113731243</v>
      </c>
      <c r="M59" s="97"/>
      <c r="N59" s="98">
        <f>L59-H59</f>
        <v>0.44865411137312528</v>
      </c>
      <c r="O59" s="99">
        <f>IF((H59)=0,"",(N59/H59))</f>
        <v>5.8137340400516838E-2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1.0032284599999999</v>
      </c>
      <c r="I60" s="104"/>
      <c r="J60" s="105">
        <v>0.13</v>
      </c>
      <c r="K60" s="104"/>
      <c r="L60" s="106">
        <f>L59*J60</f>
        <v>1.0615534944785061</v>
      </c>
      <c r="M60" s="107"/>
      <c r="N60" s="108">
        <f t="shared" si="2"/>
        <v>5.8325034478506232E-2</v>
      </c>
      <c r="O60" s="109">
        <f t="shared" si="8"/>
        <v>5.8137340400516789E-2</v>
      </c>
      <c r="S60" s="72"/>
    </row>
    <row r="61" spans="2:19" ht="51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8.720370459999998</v>
      </c>
      <c r="I61" s="104"/>
      <c r="J61" s="104"/>
      <c r="K61" s="104"/>
      <c r="L61" s="106">
        <f>L59+L60</f>
        <v>9.2273496058516304</v>
      </c>
      <c r="M61" s="107"/>
      <c r="N61" s="108">
        <f t="shared" si="2"/>
        <v>0.5069791458516324</v>
      </c>
      <c r="O61" s="109">
        <f t="shared" si="8"/>
        <v>5.8137340400516942E-2</v>
      </c>
      <c r="S61" s="72"/>
    </row>
    <row r="62" spans="2:19" ht="15.75" hidden="1" customHeight="1" x14ac:dyDescent="0.3">
      <c r="B62" s="367" t="s">
        <v>43</v>
      </c>
      <c r="C62" s="367"/>
      <c r="D62" s="367"/>
      <c r="E62" s="22"/>
      <c r="F62" s="111"/>
      <c r="G62" s="102"/>
      <c r="H62" s="112">
        <f>ROUND(-H61*10%,2)</f>
        <v>-0.87</v>
      </c>
      <c r="I62" s="104"/>
      <c r="J62" s="104"/>
      <c r="K62" s="104"/>
      <c r="L62" s="113">
        <f>ROUND(-L61*10%,2)</f>
        <v>-0.92</v>
      </c>
      <c r="M62" s="107"/>
      <c r="N62" s="114">
        <f t="shared" si="2"/>
        <v>-5.0000000000000044E-2</v>
      </c>
      <c r="O62" s="115">
        <f t="shared" si="8"/>
        <v>5.7471264367816147E-2</v>
      </c>
    </row>
    <row r="63" spans="2:19" ht="15.75" hidden="1" thickBot="1" x14ac:dyDescent="0.3">
      <c r="B63" s="364" t="s">
        <v>44</v>
      </c>
      <c r="C63" s="364"/>
      <c r="D63" s="364"/>
      <c r="E63" s="116"/>
      <c r="F63" s="117"/>
      <c r="G63" s="118"/>
      <c r="H63" s="119">
        <f>H61+H62</f>
        <v>7.8503704599999979</v>
      </c>
      <c r="I63" s="120"/>
      <c r="J63" s="120"/>
      <c r="K63" s="120"/>
      <c r="L63" s="121">
        <f>L61+L62</f>
        <v>8.3073496058516305</v>
      </c>
      <c r="M63" s="122"/>
      <c r="N63" s="123">
        <f t="shared" si="2"/>
        <v>0.45697914585163257</v>
      </c>
      <c r="O63" s="124">
        <f t="shared" si="8"/>
        <v>5.8211156808468972E-2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7.7171419999999991</v>
      </c>
      <c r="I65" s="136"/>
      <c r="J65" s="137"/>
      <c r="K65" s="137"/>
      <c r="L65" s="189">
        <f>SUM(L53,L48,L49:L52)</f>
        <v>8.1657961113731243</v>
      </c>
      <c r="M65" s="138"/>
      <c r="N65" s="139">
        <f>L65-H65</f>
        <v>0.44865411137312528</v>
      </c>
      <c r="O65" s="99">
        <f>IF((H65)=0,"",(N65/H65))</f>
        <v>5.8137340400516838E-2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1.0032284599999999</v>
      </c>
      <c r="I66" s="143"/>
      <c r="J66" s="144">
        <v>0.13</v>
      </c>
      <c r="K66" s="145"/>
      <c r="L66" s="146">
        <f>L65*J66</f>
        <v>1.0615534944785061</v>
      </c>
      <c r="M66" s="147"/>
      <c r="N66" s="148">
        <f>L66-H66</f>
        <v>5.8325034478506232E-2</v>
      </c>
      <c r="O66" s="109">
        <f>IF((H66)=0,"",(N66/H66))</f>
        <v>5.8137340400516789E-2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8.720370459999998</v>
      </c>
      <c r="I67" s="143"/>
      <c r="J67" s="143"/>
      <c r="K67" s="143"/>
      <c r="L67" s="146">
        <f>L65+L66</f>
        <v>9.2273496058516304</v>
      </c>
      <c r="M67" s="147"/>
      <c r="N67" s="148">
        <f>L67-H67</f>
        <v>0.5069791458516324</v>
      </c>
      <c r="O67" s="109">
        <f>IF((H67)=0,"",(N67/H67))</f>
        <v>5.8137340400516942E-2</v>
      </c>
    </row>
    <row r="68" spans="1:15" s="73" customFormat="1" ht="15.75" customHeight="1" x14ac:dyDescent="0.25">
      <c r="B68" s="368" t="s">
        <v>43</v>
      </c>
      <c r="C68" s="368"/>
      <c r="D68" s="368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6" t="s">
        <v>46</v>
      </c>
      <c r="C69" s="356"/>
      <c r="D69" s="356"/>
      <c r="E69" s="155"/>
      <c r="F69" s="156"/>
      <c r="G69" s="157"/>
      <c r="H69" s="158">
        <f>SUM(H67:H68)</f>
        <v>8.720370459999998</v>
      </c>
      <c r="I69" s="159"/>
      <c r="J69" s="159"/>
      <c r="K69" s="159"/>
      <c r="L69" s="160">
        <f>SUM(L67:L68)</f>
        <v>9.2273496058516304</v>
      </c>
      <c r="M69" s="161"/>
      <c r="N69" s="162">
        <f>L69-H69</f>
        <v>0.5069791458516324</v>
      </c>
      <c r="O69" s="163">
        <f>IF((H69)=0,"",(N69/H69))</f>
        <v>5.8137340400516942E-2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9:O9"/>
    <mergeCell ref="N1:O1"/>
    <mergeCell ref="N2:O2"/>
    <mergeCell ref="N5:O5"/>
    <mergeCell ref="B8:O8"/>
    <mergeCell ref="N3:O3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6:E47 E38:E44 E21:E36 E49:E58 E70 E64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45" orientation="portrait" verticalDpi="4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51">
        <v>42125</v>
      </c>
      <c r="O5" s="351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73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150</v>
      </c>
      <c r="G16" s="13" t="s">
        <v>7</v>
      </c>
      <c r="H16" s="14"/>
      <c r="I16" s="13"/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15.98</v>
      </c>
      <c r="G21" s="26">
        <v>1</v>
      </c>
      <c r="H21" s="27">
        <f>G21*F21</f>
        <v>15.98</v>
      </c>
      <c r="I21" s="28"/>
      <c r="J21" s="283">
        <v>11.1464</v>
      </c>
      <c r="K21" s="30">
        <v>1</v>
      </c>
      <c r="L21" s="27">
        <f>K21*J21</f>
        <v>11.1464</v>
      </c>
      <c r="M21" s="28"/>
      <c r="N21" s="31">
        <f>L21-H21</f>
        <v>-4.8336000000000006</v>
      </c>
      <c r="O21" s="32">
        <f>IF((H21)=0,"",(N21/H21))</f>
        <v>-0.30247809762202754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308">
        <v>-1.4999999999999999E-4</v>
      </c>
      <c r="G25" s="179">
        <f>$F$16</f>
        <v>150</v>
      </c>
      <c r="H25" s="27">
        <f t="shared" si="0"/>
        <v>-2.2499999999999999E-2</v>
      </c>
      <c r="I25" s="28"/>
      <c r="J25" s="263"/>
      <c r="K25" s="179">
        <f>$F$16</f>
        <v>150</v>
      </c>
      <c r="L25" s="27">
        <f t="shared" si="1"/>
        <v>0</v>
      </c>
      <c r="M25" s="28"/>
      <c r="N25" s="31">
        <f t="shared" si="2"/>
        <v>2.2499999999999999E-2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173"/>
      <c r="G26" s="179">
        <f>$F$16</f>
        <v>150</v>
      </c>
      <c r="H26" s="27">
        <f t="shared" si="0"/>
        <v>0</v>
      </c>
      <c r="I26" s="28"/>
      <c r="J26" s="311">
        <v>-5.9999999999999995E-4</v>
      </c>
      <c r="K26" s="179">
        <f>$F$16</f>
        <v>150</v>
      </c>
      <c r="L26" s="27">
        <f t="shared" si="1"/>
        <v>-0.09</v>
      </c>
      <c r="M26" s="28"/>
      <c r="N26" s="31">
        <f t="shared" si="2"/>
        <v>-0.09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v>1.9900000000000001E-2</v>
      </c>
      <c r="G27" s="179">
        <f>$F$16</f>
        <v>150</v>
      </c>
      <c r="H27" s="27">
        <f t="shared" si="0"/>
        <v>2.9850000000000003</v>
      </c>
      <c r="I27" s="28"/>
      <c r="J27" s="263">
        <v>1.3899999999999999E-2</v>
      </c>
      <c r="K27" s="179">
        <f>$F$16</f>
        <v>150</v>
      </c>
      <c r="L27" s="27">
        <f t="shared" si="1"/>
        <v>2.085</v>
      </c>
      <c r="M27" s="28"/>
      <c r="N27" s="31">
        <f t="shared" si="2"/>
        <v>-0.90000000000000036</v>
      </c>
      <c r="O27" s="32">
        <f t="shared" si="3"/>
        <v>-0.3015075376884423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18.942499999999999</v>
      </c>
      <c r="I37" s="41"/>
      <c r="J37" s="43"/>
      <c r="K37" s="43"/>
      <c r="L37" s="40">
        <f>SUM(L21:L36)</f>
        <v>13.141400000000001</v>
      </c>
      <c r="M37" s="41"/>
      <c r="N37" s="44">
        <f t="shared" si="2"/>
        <v>-5.8010999999999981</v>
      </c>
      <c r="O37" s="45">
        <f t="shared" si="3"/>
        <v>-0.30624785535172222</v>
      </c>
    </row>
    <row r="38" spans="2:15" ht="15" x14ac:dyDescent="0.25">
      <c r="B38" s="296" t="s">
        <v>23</v>
      </c>
      <c r="C38" s="22"/>
      <c r="D38" s="56" t="s">
        <v>61</v>
      </c>
      <c r="E38" s="57"/>
      <c r="F38" s="29">
        <v>-1.5E-3</v>
      </c>
      <c r="G38" s="179">
        <f>F16</f>
        <v>150</v>
      </c>
      <c r="H38" s="27">
        <f t="shared" ref="H38:H44" si="6">G38*F38</f>
        <v>-0.22500000000000001</v>
      </c>
      <c r="I38" s="28"/>
      <c r="J38" s="263">
        <v>1.619778790676448E-3</v>
      </c>
      <c r="K38" s="179">
        <f>F16</f>
        <v>150</v>
      </c>
      <c r="L38" s="27">
        <f t="shared" ref="L38:L44" si="7">K38*J38</f>
        <v>0.24296681860146721</v>
      </c>
      <c r="M38" s="28"/>
      <c r="N38" s="31">
        <f t="shared" ref="N38:N44" si="8">L38-H38</f>
        <v>0.46796681860146722</v>
      </c>
      <c r="O38" s="32">
        <f t="shared" ref="O38:O43" si="9">IF((H38)=0,"",(N38/H38))</f>
        <v>-2.079852527117632</v>
      </c>
    </row>
    <row r="39" spans="2:15" ht="15" hidden="1" x14ac:dyDescent="0.25">
      <c r="B39" s="296"/>
      <c r="C39" s="22"/>
      <c r="D39" s="23" t="s">
        <v>61</v>
      </c>
      <c r="E39" s="24"/>
      <c r="F39" s="25"/>
      <c r="G39" s="179">
        <f>F16</f>
        <v>150</v>
      </c>
      <c r="H39" s="27">
        <f t="shared" si="6"/>
        <v>0</v>
      </c>
      <c r="I39" s="47"/>
      <c r="J39" s="263"/>
      <c r="K39" s="179">
        <f>F16</f>
        <v>150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5" hidden="1" x14ac:dyDescent="0.25">
      <c r="B40" s="296"/>
      <c r="C40" s="22"/>
      <c r="D40" s="23" t="s">
        <v>61</v>
      </c>
      <c r="E40" s="24"/>
      <c r="F40" s="25"/>
      <c r="G40" s="179">
        <f>F16</f>
        <v>150</v>
      </c>
      <c r="H40" s="27">
        <f t="shared" si="6"/>
        <v>0</v>
      </c>
      <c r="I40" s="47"/>
      <c r="J40" s="263"/>
      <c r="K40" s="179">
        <f>F16</f>
        <v>150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7.75" customHeight="1" x14ac:dyDescent="0.25">
      <c r="B41" s="296" t="s">
        <v>74</v>
      </c>
      <c r="C41" s="22"/>
      <c r="D41" s="23" t="s">
        <v>61</v>
      </c>
      <c r="E41" s="24"/>
      <c r="F41" s="29"/>
      <c r="G41" s="26">
        <f>$F$16</f>
        <v>150</v>
      </c>
      <c r="H41" s="27">
        <f t="shared" si="6"/>
        <v>0</v>
      </c>
      <c r="I41" s="47"/>
      <c r="J41" s="263">
        <v>0</v>
      </c>
      <c r="K41" s="26">
        <f>$F$16</f>
        <v>150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15" x14ac:dyDescent="0.25">
      <c r="B42" s="49" t="s">
        <v>24</v>
      </c>
      <c r="C42" s="22"/>
      <c r="D42" s="23" t="s">
        <v>61</v>
      </c>
      <c r="E42" s="24"/>
      <c r="F42" s="25">
        <v>1E-4</v>
      </c>
      <c r="G42" s="179">
        <f>F16</f>
        <v>150</v>
      </c>
      <c r="H42" s="27">
        <f t="shared" si="6"/>
        <v>1.5000000000000001E-2</v>
      </c>
      <c r="I42" s="28"/>
      <c r="J42" s="29">
        <v>2.0000000000000001E-4</v>
      </c>
      <c r="K42" s="179">
        <f>F16</f>
        <v>150</v>
      </c>
      <c r="L42" s="27">
        <f t="shared" si="7"/>
        <v>3.0000000000000002E-2</v>
      </c>
      <c r="M42" s="28"/>
      <c r="N42" s="31">
        <f t="shared" si="8"/>
        <v>1.5000000000000001E-2</v>
      </c>
      <c r="O42" s="32">
        <f t="shared" si="9"/>
        <v>1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6.0600000000000023</v>
      </c>
      <c r="H43" s="184">
        <f t="shared" si="6"/>
        <v>0.45450000000000013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5.4300000000000068</v>
      </c>
      <c r="L43" s="184">
        <f t="shared" si="7"/>
        <v>0.4072500000000005</v>
      </c>
      <c r="M43" s="57"/>
      <c r="N43" s="186">
        <f t="shared" si="8"/>
        <v>-4.7249999999999626E-2</v>
      </c>
      <c r="O43" s="187">
        <f t="shared" si="9"/>
        <v>-0.10396039603960311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19.186999999999998</v>
      </c>
      <c r="I45" s="41"/>
      <c r="J45" s="53"/>
      <c r="K45" s="55"/>
      <c r="L45" s="54">
        <f>SUM(L38:L44)+L37</f>
        <v>13.821616818601468</v>
      </c>
      <c r="M45" s="41"/>
      <c r="N45" s="44">
        <f t="shared" ref="N45:N63" si="10">L45-H45</f>
        <v>-5.3653831813985295</v>
      </c>
      <c r="O45" s="45">
        <f t="shared" ref="O45:O63" si="11">IF((H45)=0,"",(N45/H45))</f>
        <v>-0.27963637782866163</v>
      </c>
    </row>
    <row r="46" spans="2:15" x14ac:dyDescent="0.3">
      <c r="B46" s="28" t="s">
        <v>28</v>
      </c>
      <c r="C46" s="28"/>
      <c r="D46" s="56" t="s">
        <v>61</v>
      </c>
      <c r="E46" s="57"/>
      <c r="F46" s="263">
        <v>6.8999999999999999E-3</v>
      </c>
      <c r="G46" s="69">
        <f>F16*(1+F72)</f>
        <v>156.06</v>
      </c>
      <c r="H46" s="27">
        <f>G46*F46</f>
        <v>1.0768139999999999</v>
      </c>
      <c r="I46" s="28"/>
      <c r="J46" s="263">
        <v>6.7000000000000002E-3</v>
      </c>
      <c r="K46" s="70">
        <f>F16*(1+J72)</f>
        <v>155.43</v>
      </c>
      <c r="L46" s="27">
        <f>K46*J46</f>
        <v>1.0413810000000001</v>
      </c>
      <c r="M46" s="28"/>
      <c r="N46" s="31">
        <f t="shared" si="10"/>
        <v>-3.5432999999999826E-2</v>
      </c>
      <c r="O46" s="32">
        <f t="shared" si="11"/>
        <v>-3.2905404275947216E-2</v>
      </c>
    </row>
    <row r="47" spans="2:15" x14ac:dyDescent="0.3">
      <c r="B47" s="59" t="s">
        <v>29</v>
      </c>
      <c r="C47" s="28"/>
      <c r="D47" s="56" t="s">
        <v>61</v>
      </c>
      <c r="E47" s="57"/>
      <c r="F47" s="263">
        <v>2.0999999999999999E-3</v>
      </c>
      <c r="G47" s="69">
        <f>G46</f>
        <v>156.06</v>
      </c>
      <c r="H47" s="27">
        <f>G47*F47</f>
        <v>0.32772599999999996</v>
      </c>
      <c r="I47" s="28"/>
      <c r="J47" s="263">
        <v>2.0999999999999999E-3</v>
      </c>
      <c r="K47" s="70">
        <f>K46</f>
        <v>155.43</v>
      </c>
      <c r="L47" s="27">
        <f>K47*J47</f>
        <v>0.326403</v>
      </c>
      <c r="M47" s="28"/>
      <c r="N47" s="31">
        <f t="shared" si="10"/>
        <v>-1.3229999999999631E-3</v>
      </c>
      <c r="O47" s="32">
        <f t="shared" si="11"/>
        <v>-4.0369088811994264E-3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20.591539999999995</v>
      </c>
      <c r="I48" s="61"/>
      <c r="J48" s="62"/>
      <c r="K48" s="63"/>
      <c r="L48" s="54">
        <f>SUM(L45:L47)</f>
        <v>15.189400818601467</v>
      </c>
      <c r="M48" s="61"/>
      <c r="N48" s="44">
        <f t="shared" si="10"/>
        <v>-5.4021391813985282</v>
      </c>
      <c r="O48" s="45">
        <f t="shared" si="11"/>
        <v>-0.26234750685954183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156.06</v>
      </c>
      <c r="H49" s="66">
        <f t="shared" ref="H49:H55" si="12">G49*F49</f>
        <v>0.68666400000000005</v>
      </c>
      <c r="I49" s="28"/>
      <c r="J49" s="67">
        <f>+F49</f>
        <v>4.4000000000000003E-3</v>
      </c>
      <c r="K49" s="7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156.06</v>
      </c>
      <c r="H50" s="66">
        <f t="shared" si="12"/>
        <v>0.202878</v>
      </c>
      <c r="I50" s="28"/>
      <c r="J50" s="67">
        <f>+F50</f>
        <v>1.2999999999999999E-3</v>
      </c>
      <c r="K50" s="7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177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67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2" t="s">
        <v>87</v>
      </c>
      <c r="C53" s="22"/>
      <c r="D53" s="23" t="s">
        <v>61</v>
      </c>
      <c r="E53" s="24"/>
      <c r="F53" s="65">
        <v>0.9496</v>
      </c>
      <c r="G53" s="69">
        <f>F16</f>
        <v>150</v>
      </c>
      <c r="H53" s="66">
        <f t="shared" si="12"/>
        <v>142.44</v>
      </c>
      <c r="I53" s="28"/>
      <c r="J53" s="65">
        <f>+F53</f>
        <v>0.9496</v>
      </c>
      <c r="K53" s="69">
        <f>F16</f>
        <v>150</v>
      </c>
      <c r="L53" s="66">
        <f t="shared" si="13"/>
        <v>142.44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165.22108199999997</v>
      </c>
      <c r="I59" s="95"/>
      <c r="J59" s="96"/>
      <c r="K59" s="96"/>
      <c r="L59" s="94">
        <f>SUM(L49:L55,L48)</f>
        <v>159.81535181860144</v>
      </c>
      <c r="M59" s="97"/>
      <c r="N59" s="98">
        <f>L59-H59</f>
        <v>-5.4057301813985248</v>
      </c>
      <c r="O59" s="99">
        <f>IF((H59)=0,"",(N59/H59))</f>
        <v>-3.271816233111538E-2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21.478740659999996</v>
      </c>
      <c r="I60" s="104"/>
      <c r="J60" s="105">
        <v>0.13</v>
      </c>
      <c r="K60" s="104"/>
      <c r="L60" s="106">
        <f>L59*J60</f>
        <v>20.775995736418189</v>
      </c>
      <c r="M60" s="107"/>
      <c r="N60" s="108">
        <f t="shared" si="10"/>
        <v>-0.70274492358180751</v>
      </c>
      <c r="O60" s="109">
        <f t="shared" si="11"/>
        <v>-3.2718162331115352E-2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186.69982265999997</v>
      </c>
      <c r="I61" s="104"/>
      <c r="J61" s="104"/>
      <c r="K61" s="104"/>
      <c r="L61" s="106">
        <f>L59+L60</f>
        <v>180.59134755501964</v>
      </c>
      <c r="M61" s="107"/>
      <c r="N61" s="108">
        <f t="shared" si="10"/>
        <v>-6.1084751049803288</v>
      </c>
      <c r="O61" s="109">
        <f t="shared" si="11"/>
        <v>-3.2718162331115359E-2</v>
      </c>
      <c r="S61" s="72"/>
    </row>
    <row r="62" spans="2:19" ht="15.75" hidden="1" customHeight="1" x14ac:dyDescent="0.25">
      <c r="B62" s="367" t="s">
        <v>43</v>
      </c>
      <c r="C62" s="367"/>
      <c r="D62" s="367"/>
      <c r="E62" s="22"/>
      <c r="F62" s="111"/>
      <c r="G62" s="102"/>
      <c r="H62" s="112">
        <f>ROUND(-H61*10%,2)</f>
        <v>-18.670000000000002</v>
      </c>
      <c r="I62" s="104"/>
      <c r="J62" s="104"/>
      <c r="K62" s="104"/>
      <c r="L62" s="113">
        <f>ROUND(-L61*10%,2)</f>
        <v>-18.059999999999999</v>
      </c>
      <c r="M62" s="107"/>
      <c r="N62" s="114">
        <f t="shared" si="10"/>
        <v>0.61000000000000298</v>
      </c>
      <c r="O62" s="115">
        <f t="shared" si="11"/>
        <v>-3.2672737011248149E-2</v>
      </c>
    </row>
    <row r="63" spans="2:19" ht="15" hidden="1" x14ac:dyDescent="0.25">
      <c r="B63" s="364" t="s">
        <v>44</v>
      </c>
      <c r="C63" s="364"/>
      <c r="D63" s="364"/>
      <c r="E63" s="116"/>
      <c r="F63" s="117"/>
      <c r="G63" s="118"/>
      <c r="H63" s="119">
        <f>H61+H62</f>
        <v>168.02982265999998</v>
      </c>
      <c r="I63" s="120"/>
      <c r="J63" s="120"/>
      <c r="K63" s="120"/>
      <c r="L63" s="121">
        <f>L61+L62</f>
        <v>162.53134755501964</v>
      </c>
      <c r="M63" s="122"/>
      <c r="N63" s="123">
        <f t="shared" si="10"/>
        <v>-5.4984751049803435</v>
      </c>
      <c r="O63" s="124">
        <f t="shared" si="11"/>
        <v>-3.2723209594205403E-2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165.22108200000002</v>
      </c>
      <c r="I65" s="136"/>
      <c r="J65" s="137"/>
      <c r="K65" s="137"/>
      <c r="L65" s="189">
        <f>SUM(L53,L48,L49:L52)</f>
        <v>159.81535181860144</v>
      </c>
      <c r="M65" s="138"/>
      <c r="N65" s="139">
        <f>L65-H65</f>
        <v>-5.4057301813985816</v>
      </c>
      <c r="O65" s="99">
        <f>IF((H65)=0,"",(N65/H65))</f>
        <v>-3.2718162331115713E-2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21.478740660000003</v>
      </c>
      <c r="I66" s="143"/>
      <c r="J66" s="144">
        <v>0.13</v>
      </c>
      <c r="K66" s="145"/>
      <c r="L66" s="146">
        <f>L65*J66</f>
        <v>20.775995736418189</v>
      </c>
      <c r="M66" s="147"/>
      <c r="N66" s="148">
        <f>L66-H66</f>
        <v>-0.70274492358181462</v>
      </c>
      <c r="O66" s="109">
        <f>IF((H66)=0,"",(N66/H66))</f>
        <v>-3.2718162331115672E-2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186.69982266000002</v>
      </c>
      <c r="I67" s="143"/>
      <c r="J67" s="143"/>
      <c r="K67" s="143"/>
      <c r="L67" s="146">
        <f>L65+L66</f>
        <v>180.59134755501964</v>
      </c>
      <c r="M67" s="147"/>
      <c r="N67" s="148">
        <f>L67-H67</f>
        <v>-6.1084751049803856</v>
      </c>
      <c r="O67" s="109">
        <f>IF((H67)=0,"",(N67/H67))</f>
        <v>-3.2718162331115651E-2</v>
      </c>
    </row>
    <row r="68" spans="1:15" s="73" customFormat="1" ht="15.75" customHeight="1" x14ac:dyDescent="0.25">
      <c r="B68" s="368" t="s">
        <v>43</v>
      </c>
      <c r="C68" s="368"/>
      <c r="D68" s="368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6" t="s">
        <v>46</v>
      </c>
      <c r="C69" s="356"/>
      <c r="D69" s="356"/>
      <c r="E69" s="155"/>
      <c r="F69" s="156"/>
      <c r="G69" s="157"/>
      <c r="H69" s="158">
        <f>SUM(H67:H68)</f>
        <v>186.69982266000002</v>
      </c>
      <c r="I69" s="159"/>
      <c r="J69" s="159"/>
      <c r="K69" s="159"/>
      <c r="L69" s="160">
        <f>SUM(L67:L68)</f>
        <v>180.59134755501964</v>
      </c>
      <c r="M69" s="161"/>
      <c r="N69" s="162">
        <f>L69-H69</f>
        <v>-6.1084751049803856</v>
      </c>
      <c r="O69" s="163">
        <f>IF((H69)=0,"",(N69/H69))</f>
        <v>-3.2718162331115651E-2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T88"/>
  <sheetViews>
    <sheetView showGridLines="0" workbookViewId="0">
      <selection activeCell="L1" sqref="L1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9.886718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51">
        <v>42125</v>
      </c>
      <c r="O5" s="351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91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2615000</v>
      </c>
      <c r="G16" s="13" t="s">
        <v>7</v>
      </c>
      <c r="H16" s="14">
        <v>6000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15" x14ac:dyDescent="0.25">
      <c r="B21" s="22" t="s">
        <v>18</v>
      </c>
      <c r="C21" s="22"/>
      <c r="D21" s="23" t="s">
        <v>60</v>
      </c>
      <c r="E21" s="24"/>
      <c r="F21" s="174"/>
      <c r="G21" s="26">
        <v>1</v>
      </c>
      <c r="H21" s="27">
        <f>G21*F21</f>
        <v>0</v>
      </c>
      <c r="I21" s="28"/>
      <c r="J21" s="173"/>
      <c r="K21" s="30">
        <v>1</v>
      </c>
      <c r="L21" s="27">
        <f>K21*J21</f>
        <v>0</v>
      </c>
      <c r="M21" s="28"/>
      <c r="N21" s="31">
        <f>L21-H21</f>
        <v>0</v>
      </c>
      <c r="O21" s="32" t="str">
        <f>IF((H21)=0,"",(N21/H21))</f>
        <v/>
      </c>
    </row>
    <row r="22" spans="2:15" ht="30" x14ac:dyDescent="0.25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/>
      <c r="G25" s="179">
        <f>$H$16</f>
        <v>6000</v>
      </c>
      <c r="H25" s="27">
        <f t="shared" si="0"/>
        <v>0</v>
      </c>
      <c r="I25" s="28"/>
      <c r="J25" s="25"/>
      <c r="K25" s="179">
        <f>$H$16</f>
        <v>6000</v>
      </c>
      <c r="L25" s="27">
        <f t="shared" si="1"/>
        <v>0</v>
      </c>
      <c r="M25" s="28"/>
      <c r="N25" s="31">
        <f t="shared" si="2"/>
        <v>0</v>
      </c>
      <c r="O25" s="32" t="str">
        <f t="shared" si="3"/>
        <v/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6000</v>
      </c>
      <c r="H26" s="27">
        <f t="shared" si="0"/>
        <v>0</v>
      </c>
      <c r="I26" s="28"/>
      <c r="J26" s="25">
        <v>-0.25939791261736223</v>
      </c>
      <c r="K26" s="179">
        <f>$H$16</f>
        <v>6000</v>
      </c>
      <c r="L26" s="27">
        <f t="shared" si="1"/>
        <v>-1556.3874757041733</v>
      </c>
      <c r="M26" s="28"/>
      <c r="N26" s="31">
        <f t="shared" si="2"/>
        <v>-1556.3874757041733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v>1.26E-2</v>
      </c>
      <c r="G27" s="179">
        <f>$H$16</f>
        <v>6000</v>
      </c>
      <c r="H27" s="27">
        <f t="shared" si="0"/>
        <v>75.599999999999994</v>
      </c>
      <c r="I27" s="28"/>
      <c r="J27" s="29">
        <v>2.01E-2</v>
      </c>
      <c r="K27" s="179">
        <f>$H$16</f>
        <v>6000</v>
      </c>
      <c r="L27" s="27">
        <f t="shared" si="1"/>
        <v>120.6</v>
      </c>
      <c r="M27" s="28"/>
      <c r="N27" s="31">
        <f t="shared" si="2"/>
        <v>45</v>
      </c>
      <c r="O27" s="32">
        <f t="shared" si="3"/>
        <v>0.59523809523809523</v>
      </c>
    </row>
    <row r="28" spans="2:15" ht="15" x14ac:dyDescent="0.25">
      <c r="B28" s="22" t="s">
        <v>20</v>
      </c>
      <c r="C28" s="22"/>
      <c r="D28" s="23"/>
      <c r="E28" s="24"/>
      <c r="F28" s="25"/>
      <c r="G28" s="26">
        <f>$F$16</f>
        <v>2615000</v>
      </c>
      <c r="H28" s="27">
        <f t="shared" si="0"/>
        <v>0</v>
      </c>
      <c r="I28" s="28"/>
      <c r="J28" s="29"/>
      <c r="K28" s="26">
        <f t="shared" ref="K28:K36" si="4">$F$16</f>
        <v>2615000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x14ac:dyDescent="0.25">
      <c r="B29" s="22" t="s">
        <v>21</v>
      </c>
      <c r="C29" s="22"/>
      <c r="D29" s="23"/>
      <c r="E29" s="24"/>
      <c r="F29" s="25"/>
      <c r="G29" s="26">
        <f>$F$16</f>
        <v>2615000</v>
      </c>
      <c r="H29" s="27">
        <f t="shared" si="0"/>
        <v>0</v>
      </c>
      <c r="I29" s="28"/>
      <c r="J29" s="29"/>
      <c r="K29" s="26">
        <f t="shared" si="4"/>
        <v>2615000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2615000</v>
      </c>
      <c r="H30" s="27">
        <f t="shared" si="0"/>
        <v>0</v>
      </c>
      <c r="I30" s="28"/>
      <c r="J30" s="29"/>
      <c r="K30" s="26">
        <f t="shared" si="4"/>
        <v>2615000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2615000</v>
      </c>
      <c r="H31" s="27">
        <f t="shared" si="0"/>
        <v>0</v>
      </c>
      <c r="I31" s="28"/>
      <c r="J31" s="29"/>
      <c r="K31" s="26">
        <f t="shared" si="4"/>
        <v>2615000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2615000</v>
      </c>
      <c r="H32" s="27">
        <f t="shared" si="0"/>
        <v>0</v>
      </c>
      <c r="I32" s="28"/>
      <c r="J32" s="29"/>
      <c r="K32" s="26">
        <f t="shared" si="4"/>
        <v>2615000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2615000</v>
      </c>
      <c r="H33" s="27">
        <f t="shared" si="0"/>
        <v>0</v>
      </c>
      <c r="I33" s="28"/>
      <c r="J33" s="29"/>
      <c r="K33" s="26">
        <f t="shared" si="4"/>
        <v>2615000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2615000</v>
      </c>
      <c r="H34" s="27">
        <f t="shared" si="0"/>
        <v>0</v>
      </c>
      <c r="I34" s="28"/>
      <c r="J34" s="29"/>
      <c r="K34" s="26">
        <f t="shared" si="4"/>
        <v>2615000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2615000</v>
      </c>
      <c r="H35" s="27">
        <f t="shared" si="0"/>
        <v>0</v>
      </c>
      <c r="I35" s="28"/>
      <c r="J35" s="29"/>
      <c r="K35" s="26">
        <f t="shared" si="4"/>
        <v>2615000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2615000</v>
      </c>
      <c r="H36" s="27">
        <f t="shared" si="0"/>
        <v>0</v>
      </c>
      <c r="I36" s="28"/>
      <c r="J36" s="29"/>
      <c r="K36" s="26">
        <f t="shared" si="4"/>
        <v>2615000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75.599999999999994</v>
      </c>
      <c r="I37" s="41"/>
      <c r="J37" s="42"/>
      <c r="K37" s="43"/>
      <c r="L37" s="40">
        <f>SUM(L21:L36)</f>
        <v>-1435.7874757041734</v>
      </c>
      <c r="M37" s="41"/>
      <c r="N37" s="44">
        <f t="shared" si="2"/>
        <v>-1511.3874757041733</v>
      </c>
      <c r="O37" s="45">
        <f t="shared" si="3"/>
        <v>-19.991897826774782</v>
      </c>
    </row>
    <row r="38" spans="2:15" x14ac:dyDescent="0.3">
      <c r="B38" s="296" t="s">
        <v>23</v>
      </c>
      <c r="C38" s="22"/>
      <c r="D38" s="56" t="s">
        <v>70</v>
      </c>
      <c r="E38" s="57"/>
      <c r="F38" s="29">
        <v>-0.58230000000000004</v>
      </c>
      <c r="G38" s="179">
        <f>G27</f>
        <v>6000</v>
      </c>
      <c r="H38" s="27">
        <f t="shared" ref="H38:H44" si="6">G38*F38</f>
        <v>-3493.8</v>
      </c>
      <c r="I38" s="28"/>
      <c r="J38" s="29">
        <v>0.54211047206552376</v>
      </c>
      <c r="K38" s="179">
        <f>H16</f>
        <v>6000</v>
      </c>
      <c r="L38" s="27">
        <f t="shared" ref="L38:L44" si="7">K38*J38</f>
        <v>3252.6628323931427</v>
      </c>
      <c r="M38" s="28"/>
      <c r="N38" s="31">
        <f t="shared" si="2"/>
        <v>6746.4628323931429</v>
      </c>
      <c r="O38" s="32">
        <f t="shared" si="3"/>
        <v>-1.9309814048866971</v>
      </c>
    </row>
    <row r="39" spans="2:15" ht="15" hidden="1" x14ac:dyDescent="0.25">
      <c r="B39" s="46"/>
      <c r="C39" s="22"/>
      <c r="D39" s="23" t="s">
        <v>70</v>
      </c>
      <c r="E39" s="24"/>
      <c r="F39" s="25"/>
      <c r="G39" s="179">
        <f>H16</f>
        <v>6000</v>
      </c>
      <c r="H39" s="27">
        <f t="shared" si="6"/>
        <v>0</v>
      </c>
      <c r="I39" s="47"/>
      <c r="J39" s="29"/>
      <c r="K39" s="179">
        <f>H16</f>
        <v>6000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5" hidden="1" x14ac:dyDescent="0.25">
      <c r="B40" s="46"/>
      <c r="C40" s="22"/>
      <c r="D40" s="23" t="s">
        <v>70</v>
      </c>
      <c r="E40" s="24"/>
      <c r="F40" s="25"/>
      <c r="G40" s="179">
        <f>H16</f>
        <v>6000</v>
      </c>
      <c r="H40" s="27">
        <f t="shared" si="6"/>
        <v>0</v>
      </c>
      <c r="I40" s="47"/>
      <c r="J40" s="29"/>
      <c r="K40" s="179">
        <f>H16</f>
        <v>6000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26.4" x14ac:dyDescent="0.3">
      <c r="B41" s="296" t="s">
        <v>74</v>
      </c>
      <c r="C41" s="22"/>
      <c r="D41" s="23" t="s">
        <v>70</v>
      </c>
      <c r="E41" s="24"/>
      <c r="F41" s="29">
        <v>0.23960000000000001</v>
      </c>
      <c r="G41" s="179">
        <f>H16</f>
        <v>6000</v>
      </c>
      <c r="H41" s="27">
        <f>G41*F41</f>
        <v>1437.6000000000001</v>
      </c>
      <c r="I41" s="47"/>
      <c r="J41" s="29">
        <v>1.3678837179514278</v>
      </c>
      <c r="K41" s="179">
        <f>H16</f>
        <v>6000</v>
      </c>
      <c r="L41" s="27">
        <f t="shared" si="7"/>
        <v>8207.3023077085672</v>
      </c>
      <c r="M41" s="48"/>
      <c r="N41" s="31">
        <f t="shared" si="2"/>
        <v>6769.7023077085669</v>
      </c>
      <c r="O41" s="32">
        <f t="shared" si="3"/>
        <v>4.7090305423682288</v>
      </c>
    </row>
    <row r="42" spans="2:15" x14ac:dyDescent="0.3">
      <c r="B42" s="49" t="s">
        <v>24</v>
      </c>
      <c r="C42" s="22"/>
      <c r="D42" s="23" t="s">
        <v>70</v>
      </c>
      <c r="E42" s="24"/>
      <c r="F42" s="25"/>
      <c r="G42" s="179">
        <f>H16</f>
        <v>6000</v>
      </c>
      <c r="H42" s="27">
        <f t="shared" si="6"/>
        <v>0</v>
      </c>
      <c r="I42" s="28"/>
      <c r="J42" s="29"/>
      <c r="K42" s="179">
        <f>H16</f>
        <v>6000</v>
      </c>
      <c r="L42" s="27">
        <f t="shared" si="7"/>
        <v>0</v>
      </c>
      <c r="M42" s="28"/>
      <c r="N42" s="31">
        <f t="shared" si="2"/>
        <v>0</v>
      </c>
      <c r="O42" s="32" t="str">
        <f t="shared" si="3"/>
        <v/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13074.999999999534</v>
      </c>
      <c r="H43" s="184">
        <f t="shared" si="6"/>
        <v>980.62499999996498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1229.0499999998137</v>
      </c>
      <c r="L43" s="184">
        <f t="shared" si="7"/>
        <v>92.178749999986024</v>
      </c>
      <c r="M43" s="57"/>
      <c r="N43" s="186">
        <f t="shared" si="2"/>
        <v>-888.44624999997893</v>
      </c>
      <c r="O43" s="187">
        <f t="shared" si="3"/>
        <v>-0.90600000000001091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-999.97500000003481</v>
      </c>
      <c r="I45" s="41"/>
      <c r="J45" s="53"/>
      <c r="K45" s="55"/>
      <c r="L45" s="54">
        <f>SUM(L38:L44)+L37</f>
        <v>10116.356414397524</v>
      </c>
      <c r="M45" s="41"/>
      <c r="N45" s="44">
        <f t="shared" si="2"/>
        <v>11116.331414397559</v>
      </c>
      <c r="O45" s="45">
        <f t="shared" ref="O45:O63" si="8">IF((H45)=0,"",(N45/H45))</f>
        <v>-11.116609329630412</v>
      </c>
    </row>
    <row r="46" spans="2:15" x14ac:dyDescent="0.3">
      <c r="B46" s="28" t="s">
        <v>28</v>
      </c>
      <c r="C46" s="28"/>
      <c r="D46" s="56" t="s">
        <v>70</v>
      </c>
      <c r="E46" s="57"/>
      <c r="F46" s="29"/>
      <c r="G46" s="289">
        <f>+H16</f>
        <v>6000</v>
      </c>
      <c r="H46" s="27">
        <f>G46*F46</f>
        <v>0</v>
      </c>
      <c r="I46" s="28"/>
      <c r="J46" s="29"/>
      <c r="K46" s="290">
        <f>+G46</f>
        <v>6000</v>
      </c>
      <c r="L46" s="27">
        <f>K46*J46</f>
        <v>0</v>
      </c>
      <c r="M46" s="28"/>
      <c r="N46" s="31">
        <f t="shared" si="2"/>
        <v>0</v>
      </c>
      <c r="O46" s="32" t="str">
        <f t="shared" si="8"/>
        <v/>
      </c>
    </row>
    <row r="47" spans="2:15" x14ac:dyDescent="0.3">
      <c r="B47" s="59" t="s">
        <v>29</v>
      </c>
      <c r="C47" s="28"/>
      <c r="D47" s="56" t="s">
        <v>70</v>
      </c>
      <c r="E47" s="57"/>
      <c r="F47" s="29"/>
      <c r="G47" s="289">
        <f>G46</f>
        <v>6000</v>
      </c>
      <c r="H47" s="27">
        <f>G47*F47</f>
        <v>0</v>
      </c>
      <c r="I47" s="28"/>
      <c r="J47" s="29"/>
      <c r="K47" s="290">
        <f>K46</f>
        <v>6000</v>
      </c>
      <c r="L47" s="27">
        <f>K47*J47</f>
        <v>0</v>
      </c>
      <c r="M47" s="28"/>
      <c r="N47" s="31">
        <f t="shared" si="2"/>
        <v>0</v>
      </c>
      <c r="O47" s="32" t="str">
        <f t="shared" si="8"/>
        <v/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-999.97500000003481</v>
      </c>
      <c r="I48" s="61"/>
      <c r="J48" s="62"/>
      <c r="K48" s="63"/>
      <c r="L48" s="54">
        <f>SUM(L45:L47)</f>
        <v>10116.356414397524</v>
      </c>
      <c r="M48" s="61"/>
      <c r="N48" s="44">
        <f t="shared" si="2"/>
        <v>11116.331414397559</v>
      </c>
      <c r="O48" s="45">
        <f t="shared" si="8"/>
        <v>-11.116609329630412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2628074.9999999995</v>
      </c>
      <c r="H49" s="66">
        <f t="shared" ref="H49:H55" si="9">G49*F49</f>
        <v>11563.529999999999</v>
      </c>
      <c r="I49" s="28"/>
      <c r="J49" s="263">
        <f>+F49</f>
        <v>4.4000000000000003E-3</v>
      </c>
      <c r="K49" s="70">
        <f>F16*(1+J72)</f>
        <v>2616229.0499999998</v>
      </c>
      <c r="L49" s="66">
        <f t="shared" ref="L49:L55" si="10">K49*J49</f>
        <v>11511.40782</v>
      </c>
      <c r="M49" s="28"/>
      <c r="N49" s="31">
        <f t="shared" si="2"/>
        <v>-52.12217999999848</v>
      </c>
      <c r="O49" s="68">
        <f t="shared" si="8"/>
        <v>-4.5074626865670335E-3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2628074.9999999995</v>
      </c>
      <c r="H50" s="66">
        <f t="shared" si="9"/>
        <v>3416.497499999999</v>
      </c>
      <c r="I50" s="28"/>
      <c r="J50" s="263">
        <f>+F50</f>
        <v>1.2999999999999999E-3</v>
      </c>
      <c r="K50" s="70">
        <f>K49</f>
        <v>2616229.0499999998</v>
      </c>
      <c r="L50" s="66">
        <f t="shared" si="10"/>
        <v>3401.0977649999995</v>
      </c>
      <c r="M50" s="28"/>
      <c r="N50" s="31">
        <f t="shared" si="2"/>
        <v>-15.399734999999509</v>
      </c>
      <c r="O50" s="68">
        <f t="shared" si="8"/>
        <v>-4.5074626865670223E-3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+F51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2615000</v>
      </c>
      <c r="H52" s="66">
        <f t="shared" si="9"/>
        <v>18305</v>
      </c>
      <c r="I52" s="28"/>
      <c r="J52" s="263">
        <f>+F52</f>
        <v>7.0000000000000001E-3</v>
      </c>
      <c r="K52" s="70">
        <f>F16</f>
        <v>2615000</v>
      </c>
      <c r="L52" s="66">
        <f t="shared" si="10"/>
        <v>18305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86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2615000</v>
      </c>
      <c r="H53" s="66">
        <f t="shared" si="9"/>
        <v>249784.8</v>
      </c>
      <c r="I53" s="28"/>
      <c r="J53" s="284">
        <f>F53</f>
        <v>9.5519999999999994E-2</v>
      </c>
      <c r="K53" s="69">
        <f>G53</f>
        <v>2615000</v>
      </c>
      <c r="L53" s="66">
        <f t="shared" si="10"/>
        <v>249784.8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282070.10249999998</v>
      </c>
      <c r="I59" s="95"/>
      <c r="J59" s="96"/>
      <c r="K59" s="96"/>
      <c r="L59" s="94">
        <f>SUM(L49:L55,L48)</f>
        <v>293118.9119993975</v>
      </c>
      <c r="M59" s="97"/>
      <c r="N59" s="98">
        <f>L59-H59</f>
        <v>11048.809499397525</v>
      </c>
      <c r="O59" s="99">
        <f>IF((H59)=0,"",(N59/H59))</f>
        <v>3.9170438133894481E-2</v>
      </c>
      <c r="S59" s="72"/>
    </row>
    <row r="60" spans="2:19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36669.113324999998</v>
      </c>
      <c r="I60" s="104"/>
      <c r="J60" s="105">
        <v>0.13</v>
      </c>
      <c r="K60" s="104"/>
      <c r="L60" s="106">
        <f>L59*J60</f>
        <v>38105.458559921673</v>
      </c>
      <c r="M60" s="107"/>
      <c r="N60" s="108">
        <f t="shared" si="2"/>
        <v>1436.345234921675</v>
      </c>
      <c r="O60" s="109">
        <f t="shared" si="8"/>
        <v>3.9170438133894397E-2</v>
      </c>
      <c r="S60" s="72"/>
    </row>
    <row r="61" spans="2:19" x14ac:dyDescent="0.3">
      <c r="B61" s="110" t="s">
        <v>42</v>
      </c>
      <c r="C61" s="22"/>
      <c r="D61" s="22"/>
      <c r="E61" s="22"/>
      <c r="F61" s="111"/>
      <c r="G61" s="102"/>
      <c r="H61" s="103">
        <f>H59+H60</f>
        <v>318739.21582499996</v>
      </c>
      <c r="I61" s="104"/>
      <c r="J61" s="104"/>
      <c r="K61" s="104"/>
      <c r="L61" s="106">
        <f>L59+L60</f>
        <v>331224.37055931916</v>
      </c>
      <c r="M61" s="107"/>
      <c r="N61" s="108">
        <f t="shared" si="2"/>
        <v>12485.154734319192</v>
      </c>
      <c r="O61" s="109">
        <f t="shared" si="8"/>
        <v>3.9170438133894453E-2</v>
      </c>
      <c r="S61" s="72"/>
    </row>
    <row r="62" spans="2:19" x14ac:dyDescent="0.3">
      <c r="B62" s="367" t="s">
        <v>43</v>
      </c>
      <c r="C62" s="367"/>
      <c r="D62" s="367"/>
      <c r="E62" s="22"/>
      <c r="F62" s="111"/>
      <c r="G62" s="102"/>
      <c r="H62" s="112">
        <f>ROUND(-H61*10%,2)</f>
        <v>-31873.919999999998</v>
      </c>
      <c r="I62" s="104"/>
      <c r="J62" s="104"/>
      <c r="K62" s="104"/>
      <c r="L62" s="113">
        <f>ROUND(-L61*10%,2)</f>
        <v>-33122.44</v>
      </c>
      <c r="M62" s="107"/>
      <c r="N62" s="114">
        <f t="shared" si="2"/>
        <v>-1248.5200000000041</v>
      </c>
      <c r="O62" s="115">
        <f t="shared" si="8"/>
        <v>3.9170582093448314E-2</v>
      </c>
    </row>
    <row r="63" spans="2:19" ht="15" thickBot="1" x14ac:dyDescent="0.35">
      <c r="B63" s="364" t="s">
        <v>44</v>
      </c>
      <c r="C63" s="364"/>
      <c r="D63" s="364"/>
      <c r="E63" s="116"/>
      <c r="F63" s="117"/>
      <c r="G63" s="118"/>
      <c r="H63" s="119">
        <f>H61+H62</f>
        <v>286865.29582499998</v>
      </c>
      <c r="I63" s="120"/>
      <c r="J63" s="120"/>
      <c r="K63" s="120"/>
      <c r="L63" s="121">
        <f>L61+L62</f>
        <v>298101.93055931915</v>
      </c>
      <c r="M63" s="122"/>
      <c r="N63" s="123">
        <f t="shared" si="2"/>
        <v>11236.634734319174</v>
      </c>
      <c r="O63" s="124">
        <f t="shared" si="8"/>
        <v>3.9170422138389296E-2</v>
      </c>
    </row>
    <row r="64" spans="2:19" s="73" customFormat="1" ht="15" thickBot="1" x14ac:dyDescent="0.3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282070.10249999998</v>
      </c>
      <c r="I65" s="136"/>
      <c r="J65" s="137"/>
      <c r="K65" s="137"/>
      <c r="L65" s="189">
        <f>SUM(L53,L48,L49:L52)</f>
        <v>293118.91199939756</v>
      </c>
      <c r="M65" s="138"/>
      <c r="N65" s="139">
        <f>L65-H65</f>
        <v>11048.809499397583</v>
      </c>
      <c r="O65" s="99">
        <f>IF((H65)=0,"",(N65/H65))</f>
        <v>3.9170438133894689E-2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36669.113324999998</v>
      </c>
      <c r="I66" s="143"/>
      <c r="J66" s="144">
        <v>0.13</v>
      </c>
      <c r="K66" s="145"/>
      <c r="L66" s="146">
        <f>L65*J66</f>
        <v>38105.458559921681</v>
      </c>
      <c r="M66" s="147"/>
      <c r="N66" s="148">
        <f>L66-H66</f>
        <v>1436.3452349216823</v>
      </c>
      <c r="O66" s="109">
        <f>IF((H66)=0,"",(N66/H66))</f>
        <v>3.9170438133894592E-2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318739.21582499996</v>
      </c>
      <c r="I67" s="143"/>
      <c r="J67" s="143"/>
      <c r="K67" s="143"/>
      <c r="L67" s="146">
        <f>L65+L66</f>
        <v>331224.37055931927</v>
      </c>
      <c r="M67" s="147"/>
      <c r="N67" s="148">
        <f>L67-H67</f>
        <v>12485.154734319309</v>
      </c>
      <c r="O67" s="109">
        <f>IF((H67)=0,"",(N67/H67))</f>
        <v>3.9170438133894814E-2</v>
      </c>
    </row>
    <row r="68" spans="1:15" s="73" customFormat="1" ht="13.2" x14ac:dyDescent="0.25">
      <c r="B68" s="368" t="s">
        <v>43</v>
      </c>
      <c r="C68" s="368"/>
      <c r="D68" s="368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6" t="s">
        <v>46</v>
      </c>
      <c r="C69" s="356"/>
      <c r="D69" s="356"/>
      <c r="E69" s="155"/>
      <c r="F69" s="156"/>
      <c r="G69" s="157"/>
      <c r="H69" s="158">
        <f>SUM(H67:H68)</f>
        <v>318739.21582499996</v>
      </c>
      <c r="I69" s="159"/>
      <c r="J69" s="159"/>
      <c r="K69" s="159"/>
      <c r="L69" s="160">
        <f>SUM(L67:L68)</f>
        <v>331224.37055931927</v>
      </c>
      <c r="M69" s="161"/>
      <c r="N69" s="162">
        <f>L69-H69</f>
        <v>12485.154734319309</v>
      </c>
      <c r="O69" s="163">
        <f>IF((H69)=0,"",(N69/H69))</f>
        <v>3.9170438133894814E-2</v>
      </c>
    </row>
    <row r="70" spans="1:15" s="73" customFormat="1" ht="15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3">
      <c r="L71" s="72"/>
    </row>
    <row r="72" spans="1:15" x14ac:dyDescent="0.3">
      <c r="B72" s="13" t="s">
        <v>47</v>
      </c>
      <c r="F72" s="170">
        <f>+'LU (14,500kW)'!F72</f>
        <v>5.0000000000000001E-3</v>
      </c>
      <c r="J72" s="307">
        <v>4.6999999999999999E-4</v>
      </c>
    </row>
    <row r="74" spans="1:15" ht="16.2" x14ac:dyDescent="0.3">
      <c r="A74" s="171" t="s">
        <v>48</v>
      </c>
    </row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5:O5"/>
    <mergeCell ref="B8:O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45" orientation="portrait" verticalDpi="4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1:K53"/>
  <sheetViews>
    <sheetView showGridLines="0" topLeftCell="A9" workbookViewId="0">
      <pane xSplit="4" ySplit="8" topLeftCell="E32" activePane="bottomRight" state="frozen"/>
      <selection activeCell="D50" sqref="D50"/>
      <selection pane="topRight" activeCell="D50" sqref="D50"/>
      <selection pane="bottomLeft" activeCell="D50" sqref="D50"/>
      <selection pane="bottomRight" activeCell="E11" sqref="E11"/>
    </sheetView>
  </sheetViews>
  <sheetFormatPr defaultColWidth="9.109375" defaultRowHeight="13.8" x14ac:dyDescent="0.25"/>
  <cols>
    <col min="1" max="2" width="9.109375" style="205"/>
    <col min="3" max="3" width="10.44140625" style="205" customWidth="1"/>
    <col min="4" max="4" width="11.5546875" style="205" bestFit="1" customWidth="1"/>
    <col min="5" max="5" width="7.5546875" style="205" bestFit="1" customWidth="1"/>
    <col min="6" max="6" width="15" style="205" customWidth="1"/>
    <col min="7" max="8" width="14.5546875" style="205" bestFit="1" customWidth="1"/>
    <col min="9" max="9" width="14.6640625" style="205" customWidth="1"/>
    <col min="10" max="10" width="18" style="205" customWidth="1"/>
    <col min="11" max="11" width="15.88671875" style="205" bestFit="1" customWidth="1"/>
    <col min="12" max="16384" width="9.109375" style="205"/>
  </cols>
  <sheetData>
    <row r="1" spans="2:11" ht="15" x14ac:dyDescent="0.25">
      <c r="G1" s="371"/>
      <c r="H1" s="371"/>
      <c r="I1" s="371"/>
      <c r="J1" s="371"/>
    </row>
    <row r="2" spans="2:11" ht="15" x14ac:dyDescent="0.25">
      <c r="H2" s="206" t="s">
        <v>0</v>
      </c>
      <c r="I2" s="198"/>
      <c r="J2" s="198"/>
    </row>
    <row r="3" spans="2:11" ht="15" x14ac:dyDescent="0.25">
      <c r="H3" s="206" t="s">
        <v>83</v>
      </c>
      <c r="I3" s="199"/>
      <c r="J3" s="199"/>
    </row>
    <row r="4" spans="2:11" ht="15" x14ac:dyDescent="0.25">
      <c r="H4" s="206" t="s">
        <v>75</v>
      </c>
      <c r="I4" s="202"/>
    </row>
    <row r="5" spans="2:11" ht="15" x14ac:dyDescent="0.25">
      <c r="H5" s="206"/>
      <c r="I5" s="200"/>
      <c r="J5" s="200"/>
    </row>
    <row r="6" spans="2:11" ht="15" x14ac:dyDescent="0.25">
      <c r="H6" s="206" t="s">
        <v>76</v>
      </c>
      <c r="I6" s="200"/>
      <c r="J6" s="200"/>
    </row>
    <row r="7" spans="2:11" ht="15" x14ac:dyDescent="0.25">
      <c r="I7" s="206"/>
      <c r="J7" s="207"/>
    </row>
    <row r="9" spans="2:11" x14ac:dyDescent="0.25">
      <c r="J9" s="3" t="s">
        <v>0</v>
      </c>
      <c r="K9" s="343" t="s">
        <v>98</v>
      </c>
    </row>
    <row r="10" spans="2:11" x14ac:dyDescent="0.25">
      <c r="J10" s="3" t="s">
        <v>99</v>
      </c>
      <c r="K10" s="344">
        <v>8</v>
      </c>
    </row>
    <row r="11" spans="2:11" x14ac:dyDescent="0.25">
      <c r="J11" s="3" t="s">
        <v>100</v>
      </c>
      <c r="K11" s="345" t="s">
        <v>101</v>
      </c>
    </row>
    <row r="12" spans="2:11" x14ac:dyDescent="0.25">
      <c r="J12" s="3"/>
      <c r="K12" s="343"/>
    </row>
    <row r="13" spans="2:11" x14ac:dyDescent="0.25">
      <c r="J13" s="3" t="s">
        <v>76</v>
      </c>
      <c r="K13" s="346">
        <v>42125</v>
      </c>
    </row>
    <row r="14" spans="2:11" ht="14.4" thickBot="1" x14ac:dyDescent="0.3"/>
    <row r="15" spans="2:11" ht="17.399999999999999" thickBot="1" x14ac:dyDescent="0.35">
      <c r="B15" s="390" t="s">
        <v>102</v>
      </c>
      <c r="C15" s="391"/>
      <c r="D15" s="391"/>
      <c r="E15" s="391"/>
      <c r="F15" s="391"/>
      <c r="G15" s="391"/>
      <c r="H15" s="391"/>
      <c r="I15" s="391"/>
      <c r="J15" s="391"/>
      <c r="K15" s="392"/>
    </row>
    <row r="16" spans="2:11" ht="47.25" customHeight="1" thickBot="1" x14ac:dyDescent="0.25">
      <c r="B16" s="372" t="s">
        <v>77</v>
      </c>
      <c r="C16" s="373"/>
      <c r="D16" s="276" t="s">
        <v>78</v>
      </c>
      <c r="E16" s="277" t="s">
        <v>69</v>
      </c>
      <c r="F16" s="276" t="s">
        <v>79</v>
      </c>
      <c r="G16" s="277" t="s">
        <v>88</v>
      </c>
      <c r="H16" s="276" t="s">
        <v>89</v>
      </c>
      <c r="I16" s="277" t="s">
        <v>80</v>
      </c>
      <c r="J16" s="276" t="s">
        <v>94</v>
      </c>
      <c r="K16" s="276" t="s">
        <v>96</v>
      </c>
    </row>
    <row r="17" spans="2:11" ht="14.25" x14ac:dyDescent="0.2">
      <c r="B17" s="208"/>
      <c r="C17" s="209"/>
      <c r="D17" s="210"/>
      <c r="E17" s="211"/>
      <c r="F17" s="212"/>
      <c r="G17" s="209"/>
      <c r="H17" s="212"/>
      <c r="I17" s="209"/>
      <c r="J17" s="212"/>
      <c r="K17" s="212"/>
    </row>
    <row r="18" spans="2:11" ht="14.25" x14ac:dyDescent="0.2">
      <c r="B18" s="374" t="s">
        <v>59</v>
      </c>
      <c r="C18" s="375"/>
      <c r="D18" s="213">
        <v>100</v>
      </c>
      <c r="E18" s="211"/>
      <c r="F18" s="212"/>
      <c r="G18" s="214">
        <f>'Res (100kWh)'!H64</f>
        <v>32.890611119999996</v>
      </c>
      <c r="H18" s="215">
        <f>'Res (100kWh)'!L64</f>
        <v>33.820972536151665</v>
      </c>
      <c r="I18" s="214">
        <f>H18-G18</f>
        <v>0.93036141615166912</v>
      </c>
      <c r="J18" s="216">
        <f>I18/G18</f>
        <v>2.8286534803421106E-2</v>
      </c>
      <c r="K18" s="216">
        <f>+'Res (100kWh)'!O37</f>
        <v>3.5129633128047545E-2</v>
      </c>
    </row>
    <row r="19" spans="2:11" ht="14.25" x14ac:dyDescent="0.2">
      <c r="B19" s="376" t="s">
        <v>81</v>
      </c>
      <c r="C19" s="377"/>
      <c r="D19" s="213">
        <v>250</v>
      </c>
      <c r="E19" s="211"/>
      <c r="F19" s="212"/>
      <c r="G19" s="214">
        <f>'Res (250kWh)'!H64</f>
        <v>54.228277800000001</v>
      </c>
      <c r="H19" s="215">
        <f>'Res (250kWh)'!L64</f>
        <v>55.843731665296929</v>
      </c>
      <c r="I19" s="214">
        <f t="shared" ref="I19:I24" si="0">H19-G19</f>
        <v>1.6154538652969279</v>
      </c>
      <c r="J19" s="216">
        <f t="shared" ref="J19:J24" si="1">I19/G19</f>
        <v>2.9789879576388241E-2</v>
      </c>
      <c r="K19" s="216">
        <f>+'Res (250kWh)'!O37</f>
        <v>4.4156284750784446E-2</v>
      </c>
    </row>
    <row r="20" spans="2:11" ht="14.25" x14ac:dyDescent="0.2">
      <c r="B20" s="208"/>
      <c r="C20" s="209"/>
      <c r="D20" s="213">
        <v>500</v>
      </c>
      <c r="E20" s="211"/>
      <c r="F20" s="212"/>
      <c r="G20" s="214">
        <f>'Res (500kWh)'!H64</f>
        <v>89.781055600000002</v>
      </c>
      <c r="H20" s="215">
        <f>'Res (500kWh)'!L64</f>
        <v>92.53499688053904</v>
      </c>
      <c r="I20" s="214">
        <f t="shared" si="0"/>
        <v>2.7539412805390384</v>
      </c>
      <c r="J20" s="216">
        <f t="shared" si="1"/>
        <v>3.0673968602113855E-2</v>
      </c>
      <c r="K20" s="216">
        <f>+'Res (500kWh)'!O37</f>
        <v>5.4921502186190282E-2</v>
      </c>
    </row>
    <row r="21" spans="2:11" ht="14.25" x14ac:dyDescent="0.2">
      <c r="B21" s="208"/>
      <c r="C21" s="209"/>
      <c r="D21" s="244">
        <v>800</v>
      </c>
      <c r="E21" s="211"/>
      <c r="F21" s="212"/>
      <c r="G21" s="214">
        <f>'Res (800kWh)'!H64</f>
        <v>132.45638896</v>
      </c>
      <c r="H21" s="215">
        <f>'Res (800kWh)'!L64</f>
        <v>136.57051513882962</v>
      </c>
      <c r="I21" s="214">
        <f t="shared" si="0"/>
        <v>4.1141261788296219</v>
      </c>
      <c r="J21" s="245">
        <f t="shared" si="1"/>
        <v>3.1060232059263154E-2</v>
      </c>
      <c r="K21" s="245">
        <f>+'Res (800kWh)'!O37</f>
        <v>6.3675714903990946E-2</v>
      </c>
    </row>
    <row r="22" spans="2:11" ht="14.25" x14ac:dyDescent="0.2">
      <c r="B22" s="208"/>
      <c r="C22" s="209"/>
      <c r="D22" s="217">
        <v>1000</v>
      </c>
      <c r="E22" s="211"/>
      <c r="F22" s="212"/>
      <c r="G22" s="214">
        <f>'Res (1,000kWh)'!H64</f>
        <v>160.90661120000001</v>
      </c>
      <c r="H22" s="215">
        <f>'Res (1,000kWh)'!L64</f>
        <v>165.91752731102326</v>
      </c>
      <c r="I22" s="214">
        <f t="shared" si="0"/>
        <v>5.0109161110232492</v>
      </c>
      <c r="J22" s="216">
        <f t="shared" si="1"/>
        <v>3.1141766479656299E-2</v>
      </c>
      <c r="K22" s="216">
        <f>+'Res (1,000kWh)'!O37</f>
        <v>6.7981091697914622E-2</v>
      </c>
    </row>
    <row r="23" spans="2:11" ht="14.25" x14ac:dyDescent="0.2">
      <c r="B23" s="208"/>
      <c r="C23" s="209"/>
      <c r="D23" s="217">
        <v>1500</v>
      </c>
      <c r="E23" s="211"/>
      <c r="F23" s="212"/>
      <c r="G23" s="214">
        <f>'Res (1,500kWh)'!H64</f>
        <v>232.0321668</v>
      </c>
      <c r="H23" s="215">
        <f>'Res (1,500kWh)'!L64</f>
        <v>239.31005774150751</v>
      </c>
      <c r="I23" s="214">
        <f t="shared" si="0"/>
        <v>7.2778909415075077</v>
      </c>
      <c r="J23" s="216">
        <f t="shared" si="1"/>
        <v>3.1365870697491187E-2</v>
      </c>
      <c r="K23" s="216">
        <f>+'Res (1,500kWh)'!O37</f>
        <v>7.5613393140145466E-2</v>
      </c>
    </row>
    <row r="24" spans="2:11" ht="14.25" x14ac:dyDescent="0.2">
      <c r="B24" s="208"/>
      <c r="C24" s="209"/>
      <c r="D24" s="217">
        <v>2000</v>
      </c>
      <c r="E24" s="211"/>
      <c r="F24" s="212"/>
      <c r="G24" s="214">
        <f>'Res (2,000kWh)'!H64</f>
        <v>303.15772240000007</v>
      </c>
      <c r="H24" s="215">
        <f>'Res (2,000kWh)'!L64</f>
        <v>312.70258817199175</v>
      </c>
      <c r="I24" s="214">
        <f t="shared" si="0"/>
        <v>9.544865771991681</v>
      </c>
      <c r="J24" s="216">
        <f t="shared" si="1"/>
        <v>3.1484818187800447E-2</v>
      </c>
      <c r="K24" s="216">
        <f>+'Res (2,000kWh)'!O37</f>
        <v>8.061955591282792E-2</v>
      </c>
    </row>
    <row r="25" spans="2:11" ht="14.25" x14ac:dyDescent="0.2">
      <c r="B25" s="218"/>
      <c r="C25" s="219"/>
      <c r="D25" s="220"/>
      <c r="E25" s="221"/>
      <c r="F25" s="222"/>
      <c r="G25" s="223"/>
      <c r="H25" s="224"/>
      <c r="I25" s="223"/>
      <c r="J25" s="225"/>
      <c r="K25" s="225"/>
    </row>
    <row r="26" spans="2:11" ht="14.25" x14ac:dyDescent="0.2">
      <c r="B26" s="226"/>
      <c r="C26" s="227"/>
      <c r="D26" s="228"/>
      <c r="E26" s="229"/>
      <c r="F26" s="230"/>
      <c r="G26" s="231"/>
      <c r="H26" s="232"/>
      <c r="I26" s="231"/>
      <c r="J26" s="233"/>
      <c r="K26" s="233"/>
    </row>
    <row r="27" spans="2:11" ht="14.25" x14ac:dyDescent="0.2">
      <c r="B27" s="378" t="s">
        <v>67</v>
      </c>
      <c r="C27" s="379"/>
      <c r="D27" s="217">
        <v>1000</v>
      </c>
      <c r="E27" s="211"/>
      <c r="F27" s="212"/>
      <c r="G27" s="214">
        <f>'GS&lt;50 (1,000kWh)'!H64</f>
        <v>175.52882440000002</v>
      </c>
      <c r="H27" s="215">
        <f>'GS&lt;50 (1,000kWh)'!L64</f>
        <v>180.10240576660732</v>
      </c>
      <c r="I27" s="214">
        <f>H27-G27</f>
        <v>4.5735813666073</v>
      </c>
      <c r="J27" s="216">
        <f>I27/G27</f>
        <v>2.6056013206041274E-2</v>
      </c>
      <c r="K27" s="216">
        <f>+'GS&lt;50 (1,000kWh)'!O37</f>
        <v>3.6236520969069673E-2</v>
      </c>
    </row>
    <row r="28" spans="2:11" ht="14.25" x14ac:dyDescent="0.2">
      <c r="B28" s="376" t="s">
        <v>81</v>
      </c>
      <c r="C28" s="377"/>
      <c r="D28" s="247">
        <v>2000</v>
      </c>
      <c r="E28" s="211"/>
      <c r="F28" s="212"/>
      <c r="G28" s="214">
        <f>'GS&lt;50 (2,000kWh)'!H64</f>
        <v>311.89134880000006</v>
      </c>
      <c r="H28" s="215">
        <f>'GS&lt;50 (2,000kWh)'!L64</f>
        <v>320.90821879630676</v>
      </c>
      <c r="I28" s="214">
        <f>H28-G28</f>
        <v>9.0168699963066956</v>
      </c>
      <c r="J28" s="248">
        <f>I28/G28</f>
        <v>2.8910292096908249E-2</v>
      </c>
      <c r="K28" s="248">
        <f>+'GS&lt;50 (2,000kWh)'!O37</f>
        <v>5.4936378119149365E-2</v>
      </c>
    </row>
    <row r="29" spans="2:11" ht="14.25" x14ac:dyDescent="0.2">
      <c r="B29" s="208"/>
      <c r="C29" s="209"/>
      <c r="D29" s="217">
        <v>5000</v>
      </c>
      <c r="E29" s="211"/>
      <c r="F29" s="212"/>
      <c r="G29" s="214">
        <f>'GS&lt;50 (5,000kWh)'!H64</f>
        <v>720.96892200000002</v>
      </c>
      <c r="H29" s="215">
        <f>'GS&lt;50 (5,000kWh)'!L64</f>
        <v>743.3456578854051</v>
      </c>
      <c r="I29" s="214">
        <f>H29-G29</f>
        <v>22.376735885405083</v>
      </c>
      <c r="J29" s="216">
        <f>I29/G29</f>
        <v>3.1037032530238637E-2</v>
      </c>
      <c r="K29" s="216">
        <f>+'GS&lt;50 (5,000kWh)'!O37</f>
        <v>8.1623922594925347E-2</v>
      </c>
    </row>
    <row r="30" spans="2:11" ht="14.25" x14ac:dyDescent="0.2">
      <c r="B30" s="208"/>
      <c r="C30" s="209"/>
      <c r="D30" s="217">
        <v>10000</v>
      </c>
      <c r="E30" s="211"/>
      <c r="F30" s="212"/>
      <c r="G30" s="214">
        <f>'GS&lt;50 (10,000kWh)'!H64</f>
        <v>1402.7815440000004</v>
      </c>
      <c r="H30" s="215">
        <f>'GS&lt;50 (10,000kWh)'!L64</f>
        <v>1447.3947230339024</v>
      </c>
      <c r="I30" s="214">
        <f>H30-G30</f>
        <v>44.613179033902043</v>
      </c>
      <c r="J30" s="216">
        <f>I30/G30</f>
        <v>3.1803368974108792E-2</v>
      </c>
      <c r="K30" s="216">
        <f>+'GS&lt;50 (10,000kWh)'!O37</f>
        <v>9.7928281738735815E-2</v>
      </c>
    </row>
    <row r="31" spans="2:11" ht="14.25" x14ac:dyDescent="0.2">
      <c r="B31" s="208"/>
      <c r="C31" s="209"/>
      <c r="D31" s="217">
        <v>15000</v>
      </c>
      <c r="E31" s="211"/>
      <c r="F31" s="212"/>
      <c r="G31" s="214">
        <f>'GS&lt;50 (15,000kWh)'!H64</f>
        <v>2084.5841660000006</v>
      </c>
      <c r="H31" s="215">
        <f>'GS&lt;50 (15,000kWh)'!L64</f>
        <v>2151.4437881823992</v>
      </c>
      <c r="I31" s="214">
        <f>H31-G31</f>
        <v>66.859622182398653</v>
      </c>
      <c r="J31" s="216">
        <f>I31/G31</f>
        <v>3.2073361811383268E-2</v>
      </c>
      <c r="K31" s="216">
        <f>+'GS&lt;50 (15,000kWh)'!O37</f>
        <v>0.1049842881319971</v>
      </c>
    </row>
    <row r="32" spans="2:11" ht="14.25" x14ac:dyDescent="0.2">
      <c r="B32" s="218"/>
      <c r="C32" s="219"/>
      <c r="D32" s="234"/>
      <c r="E32" s="221"/>
      <c r="F32" s="222"/>
      <c r="G32" s="223"/>
      <c r="H32" s="224"/>
      <c r="I32" s="223"/>
      <c r="J32" s="225"/>
      <c r="K32" s="225"/>
    </row>
    <row r="33" spans="2:11" ht="14.25" x14ac:dyDescent="0.2">
      <c r="B33" s="226"/>
      <c r="C33" s="227"/>
      <c r="D33" s="235"/>
      <c r="E33" s="229"/>
      <c r="F33" s="230"/>
      <c r="G33" s="231"/>
      <c r="H33" s="232"/>
      <c r="I33" s="231"/>
      <c r="J33" s="233"/>
      <c r="K33" s="233"/>
    </row>
    <row r="34" spans="2:11" ht="14.25" x14ac:dyDescent="0.2">
      <c r="B34" s="380" t="s">
        <v>85</v>
      </c>
      <c r="C34" s="381"/>
      <c r="D34" s="236">
        <v>20000</v>
      </c>
      <c r="E34" s="211">
        <v>60</v>
      </c>
      <c r="F34" s="212"/>
      <c r="G34" s="214">
        <f>'GS 50-4999 (60kW)'!H69</f>
        <v>3201.1449079999993</v>
      </c>
      <c r="H34" s="215">
        <f>'GS 50-4999 (60kW)'!L69</f>
        <v>3407.7484258829354</v>
      </c>
      <c r="I34" s="214">
        <f>H34-G34</f>
        <v>206.6035178829361</v>
      </c>
      <c r="J34" s="216">
        <f>I34/G34</f>
        <v>6.4540507793512281E-2</v>
      </c>
      <c r="K34" s="216">
        <f>+'GS 50-4999 (60kW)'!O37</f>
        <v>0.11652298558891019</v>
      </c>
    </row>
    <row r="35" spans="2:11" ht="14.25" x14ac:dyDescent="0.2">
      <c r="B35" s="203"/>
      <c r="C35" s="204"/>
      <c r="D35" s="236">
        <v>40000</v>
      </c>
      <c r="E35" s="211">
        <v>100</v>
      </c>
      <c r="F35" s="212"/>
      <c r="G35" s="214">
        <f>'GS 50-4999 (100kW)'!H69</f>
        <v>6084.9383559999997</v>
      </c>
      <c r="H35" s="215">
        <f>'GS 50-4999 (100kW)'!L69</f>
        <v>6414.7688044715578</v>
      </c>
      <c r="I35" s="214">
        <f>H35-G35</f>
        <v>329.83044847155816</v>
      </c>
      <c r="J35" s="216">
        <f>I35/G35</f>
        <v>5.4204402604396434E-2</v>
      </c>
      <c r="K35" s="216">
        <f>+'GS 50-4999 (100kW)'!O37</f>
        <v>0.11431762382551333</v>
      </c>
    </row>
    <row r="36" spans="2:11" ht="14.25" x14ac:dyDescent="0.2">
      <c r="B36" s="208"/>
      <c r="C36" s="209"/>
      <c r="D36" s="246">
        <v>100000</v>
      </c>
      <c r="E36" s="249">
        <v>250</v>
      </c>
      <c r="F36" s="212"/>
      <c r="G36" s="214">
        <f>+'GS 50-4999 (250kW)'!H69</f>
        <v>15009.573039999999</v>
      </c>
      <c r="H36" s="215">
        <f>+'GS 50-4999 (250kW)'!L69</f>
        <v>15807.249511178896</v>
      </c>
      <c r="I36" s="214">
        <f t="shared" ref="I36:I37" si="2">H36-G36</f>
        <v>797.67647117889646</v>
      </c>
      <c r="J36" s="250">
        <f t="shared" ref="J36:J37" si="3">I36/G36</f>
        <v>5.3144514441091424E-2</v>
      </c>
      <c r="K36" s="250">
        <f>+'GS 50-4999 (250kW)'!O37</f>
        <v>0.11175640526203445</v>
      </c>
    </row>
    <row r="37" spans="2:11" ht="14.25" x14ac:dyDescent="0.2">
      <c r="B37" s="208"/>
      <c r="C37" s="209"/>
      <c r="D37" s="236">
        <v>200000</v>
      </c>
      <c r="E37" s="211">
        <v>500</v>
      </c>
      <c r="F37" s="212"/>
      <c r="G37" s="214">
        <f>+'GS 50-4999 (500kW)'!H69</f>
        <v>29883.964180000003</v>
      </c>
      <c r="H37" s="215">
        <f>+'GS 50-4999 (500kW)'!L69</f>
        <v>31461.384022357794</v>
      </c>
      <c r="I37" s="214">
        <f t="shared" si="2"/>
        <v>1577.4198423577909</v>
      </c>
      <c r="J37" s="216">
        <f t="shared" si="3"/>
        <v>5.2784825763293054E-2</v>
      </c>
      <c r="K37" s="216">
        <f>+'GS 50-4999 (500kW)'!O37</f>
        <v>0.1107385561770977</v>
      </c>
    </row>
    <row r="38" spans="2:11" ht="14.25" x14ac:dyDescent="0.2">
      <c r="B38" s="382"/>
      <c r="C38" s="383"/>
      <c r="D38" s="236">
        <v>400000</v>
      </c>
      <c r="E38" s="237">
        <v>1000</v>
      </c>
      <c r="F38" s="212"/>
      <c r="G38" s="214">
        <f>'GS 50-4999 (1,000kW)'!H69</f>
        <v>57056.346460000001</v>
      </c>
      <c r="H38" s="215">
        <f>'GS 50-4999 (1,000kW)'!L69</f>
        <v>60193.253044715588</v>
      </c>
      <c r="I38" s="214">
        <f>H38-G38</f>
        <v>3136.9065847155871</v>
      </c>
      <c r="J38" s="216">
        <f>I38/G38</f>
        <v>5.4979100123677759E-2</v>
      </c>
      <c r="K38" s="216">
        <f>+'GS 50-4999 (1,000kW)'!O37</f>
        <v>0.11019204306226159</v>
      </c>
    </row>
    <row r="39" spans="2:11" ht="14.25" x14ac:dyDescent="0.2">
      <c r="B39" s="218"/>
      <c r="C39" s="219"/>
      <c r="D39" s="234"/>
      <c r="E39" s="238"/>
      <c r="F39" s="222"/>
      <c r="G39" s="223"/>
      <c r="H39" s="224"/>
      <c r="I39" s="223"/>
      <c r="J39" s="225"/>
      <c r="K39" s="225"/>
    </row>
    <row r="40" spans="2:11" ht="14.25" x14ac:dyDescent="0.2">
      <c r="B40" s="226"/>
      <c r="C40" s="227"/>
      <c r="D40" s="235"/>
      <c r="E40" s="229"/>
      <c r="F40" s="230"/>
      <c r="G40" s="231"/>
      <c r="H40" s="232"/>
      <c r="I40" s="231"/>
      <c r="J40" s="233"/>
      <c r="K40" s="233"/>
    </row>
    <row r="41" spans="2:11" ht="14.25" x14ac:dyDescent="0.2">
      <c r="B41" s="384" t="s">
        <v>71</v>
      </c>
      <c r="C41" s="385"/>
      <c r="D41" s="251">
        <v>8000000</v>
      </c>
      <c r="E41" s="252">
        <v>14500</v>
      </c>
      <c r="F41" s="212"/>
      <c r="G41" s="214">
        <f>'LU (14,500kW)'!H69</f>
        <v>1104488.4080999999</v>
      </c>
      <c r="H41" s="215">
        <f>'LU (14,500kW)'!L69</f>
        <v>1139997.7074395991</v>
      </c>
      <c r="I41" s="214">
        <f>H41-G41</f>
        <v>35509.299339599209</v>
      </c>
      <c r="J41" s="253">
        <f>I41/G41</f>
        <v>3.2149997301179657E-2</v>
      </c>
      <c r="K41" s="253">
        <f>+'LU (14,500kW)'!O37</f>
        <v>0.16455076254258996</v>
      </c>
    </row>
    <row r="42" spans="2:11" ht="14.25" x14ac:dyDescent="0.2">
      <c r="B42" s="196"/>
      <c r="C42" s="197"/>
      <c r="D42" s="234"/>
      <c r="E42" s="238"/>
      <c r="F42" s="222"/>
      <c r="G42" s="223"/>
      <c r="H42" s="224"/>
      <c r="I42" s="223"/>
      <c r="J42" s="225"/>
      <c r="K42" s="225"/>
    </row>
    <row r="43" spans="2:11" ht="14.25" x14ac:dyDescent="0.2">
      <c r="B43" s="226"/>
      <c r="C43" s="227"/>
      <c r="D43" s="235"/>
      <c r="E43" s="229"/>
      <c r="F43" s="230"/>
      <c r="G43" s="231"/>
      <c r="H43" s="232"/>
      <c r="I43" s="231"/>
      <c r="J43" s="233"/>
      <c r="K43" s="233"/>
    </row>
    <row r="44" spans="2:11" ht="14.25" x14ac:dyDescent="0.2">
      <c r="B44" s="386" t="s">
        <v>82</v>
      </c>
      <c r="C44" s="387"/>
      <c r="D44" s="259">
        <v>150</v>
      </c>
      <c r="E44" s="211"/>
      <c r="F44" s="239">
        <v>1</v>
      </c>
      <c r="G44" s="214">
        <f>'USL (150kWh)'!H69</f>
        <v>186.69982266000002</v>
      </c>
      <c r="H44" s="215">
        <f>'USL (150kWh)'!L69</f>
        <v>180.59134755501964</v>
      </c>
      <c r="I44" s="214">
        <f>H44-G44</f>
        <v>-6.1084751049803856</v>
      </c>
      <c r="J44" s="254">
        <f>I44/G44</f>
        <v>-3.2718162331115651E-2</v>
      </c>
      <c r="K44" s="254">
        <f>+'USL (150kWh)'!O37</f>
        <v>-0.30624785535172222</v>
      </c>
    </row>
    <row r="45" spans="2:11" ht="14.25" x14ac:dyDescent="0.2">
      <c r="B45" s="196"/>
      <c r="C45" s="197"/>
      <c r="D45" s="234"/>
      <c r="E45" s="221"/>
      <c r="F45" s="240"/>
      <c r="G45" s="223"/>
      <c r="H45" s="224"/>
      <c r="I45" s="223"/>
      <c r="J45" s="225"/>
      <c r="K45" s="225"/>
    </row>
    <row r="46" spans="2:11" ht="14.25" x14ac:dyDescent="0.2">
      <c r="B46" s="226"/>
      <c r="C46" s="227"/>
      <c r="D46" s="235"/>
      <c r="E46" s="229"/>
      <c r="F46" s="235"/>
      <c r="G46" s="231"/>
      <c r="H46" s="232"/>
      <c r="I46" s="231"/>
      <c r="J46" s="233"/>
      <c r="K46" s="233"/>
    </row>
    <row r="47" spans="2:11" ht="14.25" x14ac:dyDescent="0.2">
      <c r="B47" s="388" t="s">
        <v>72</v>
      </c>
      <c r="C47" s="389"/>
      <c r="D47" s="213">
        <v>150</v>
      </c>
      <c r="E47" s="272">
        <v>1</v>
      </c>
      <c r="F47" s="239">
        <v>1</v>
      </c>
      <c r="G47" s="214">
        <f>+'SL (1kW)'!H69</f>
        <v>32.167983460000002</v>
      </c>
      <c r="H47" s="215">
        <f>+'SL (1kW)'!L69</f>
        <v>35.612460528940218</v>
      </c>
      <c r="I47" s="214">
        <f>H47-G47</f>
        <v>3.4444770689402162</v>
      </c>
      <c r="J47" s="273">
        <f>I47/G47</f>
        <v>0.1070778052725415</v>
      </c>
      <c r="K47" s="273">
        <f>+'SL (1kW)'!O37</f>
        <v>0.11114738480923247</v>
      </c>
    </row>
    <row r="48" spans="2:11" ht="14.25" x14ac:dyDescent="0.2">
      <c r="B48" s="274"/>
      <c r="C48" s="275"/>
      <c r="D48" s="260">
        <v>50</v>
      </c>
      <c r="E48" s="261">
        <v>0.14000000000000001</v>
      </c>
      <c r="F48" s="239">
        <v>1</v>
      </c>
      <c r="G48" s="214">
        <f>+'SL (.14 kW)'!H69</f>
        <v>8.720370459999998</v>
      </c>
      <c r="H48" s="215">
        <f>+'SL (.14 kW)'!L69</f>
        <v>9.2273496058516304</v>
      </c>
      <c r="I48" s="214">
        <f>H48-G48</f>
        <v>0.5069791458516324</v>
      </c>
      <c r="J48" s="255">
        <f>I48/G48</f>
        <v>5.8137340400516942E-2</v>
      </c>
      <c r="K48" s="255">
        <f>+'SL (.14 kW)'!O37</f>
        <v>0.11127078388149089</v>
      </c>
    </row>
    <row r="49" spans="2:11" ht="15" thickBot="1" x14ac:dyDescent="0.25">
      <c r="B49" s="241"/>
      <c r="C49" s="242"/>
      <c r="D49" s="243"/>
      <c r="E49" s="242"/>
      <c r="F49" s="243"/>
      <c r="G49" s="242"/>
      <c r="H49" s="243"/>
      <c r="I49" s="242"/>
      <c r="J49" s="243"/>
      <c r="K49" s="243"/>
    </row>
    <row r="50" spans="2:11" ht="14.25" x14ac:dyDescent="0.2">
      <c r="B50" s="226"/>
      <c r="C50" s="227"/>
      <c r="D50" s="235"/>
      <c r="E50" s="229"/>
      <c r="F50" s="235"/>
      <c r="G50" s="231"/>
      <c r="H50" s="232"/>
      <c r="I50" s="231"/>
      <c r="J50" s="233"/>
      <c r="K50" s="233"/>
    </row>
    <row r="51" spans="2:11" ht="14.25" x14ac:dyDescent="0.2">
      <c r="B51" s="369" t="s">
        <v>91</v>
      </c>
      <c r="C51" s="370"/>
      <c r="D51" s="256">
        <v>2615000</v>
      </c>
      <c r="E51" s="257">
        <v>6000</v>
      </c>
      <c r="F51" s="239"/>
      <c r="G51" s="214">
        <f>+'ED (6,000kW)'!H69</f>
        <v>318739.21582499996</v>
      </c>
      <c r="H51" s="215">
        <f>+'ED (6,000kW)'!L69</f>
        <v>331224.37055931927</v>
      </c>
      <c r="I51" s="214">
        <f>H51-G51</f>
        <v>12485.154734319309</v>
      </c>
      <c r="J51" s="258">
        <f>I51/G51</f>
        <v>3.9170438133894814E-2</v>
      </c>
      <c r="K51" s="258">
        <f>+'ED (6,000kW)'!O37</f>
        <v>-19.991897826774782</v>
      </c>
    </row>
    <row r="52" spans="2:11" ht="15" thickBot="1" x14ac:dyDescent="0.25">
      <c r="B52" s="241"/>
      <c r="C52" s="242"/>
      <c r="D52" s="243"/>
      <c r="E52" s="242"/>
      <c r="F52" s="243"/>
      <c r="G52" s="242"/>
      <c r="H52" s="243"/>
      <c r="I52" s="242"/>
      <c r="J52" s="243"/>
      <c r="K52" s="243"/>
    </row>
    <row r="53" spans="2:11" ht="14.25" x14ac:dyDescent="0.2">
      <c r="B53" s="342" t="s">
        <v>103</v>
      </c>
    </row>
  </sheetData>
  <mergeCells count="13">
    <mergeCell ref="B51:C51"/>
    <mergeCell ref="G1:J1"/>
    <mergeCell ref="B16:C16"/>
    <mergeCell ref="B18:C18"/>
    <mergeCell ref="B19:C19"/>
    <mergeCell ref="B27:C27"/>
    <mergeCell ref="B28:C28"/>
    <mergeCell ref="B34:C34"/>
    <mergeCell ref="B38:C38"/>
    <mergeCell ref="B41:C41"/>
    <mergeCell ref="B44:C44"/>
    <mergeCell ref="B47:C47"/>
    <mergeCell ref="B15:K15"/>
  </mergeCells>
  <pageMargins left="0.7" right="0.7" top="0.75" bottom="0.75" header="0.3" footer="0.3"/>
  <pageSetup scale="64" orientation="portrait" verticalDpi="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showGridLines="0" tabSelected="1" workbookViewId="0">
      <selection activeCell="I1" sqref="I1:J5"/>
    </sheetView>
  </sheetViews>
  <sheetFormatPr defaultColWidth="9.109375" defaultRowHeight="13.8" x14ac:dyDescent="0.25"/>
  <cols>
    <col min="1" max="2" width="9.109375" style="205"/>
    <col min="3" max="3" width="10.44140625" style="205" customWidth="1"/>
    <col min="4" max="4" width="11.5546875" style="205" bestFit="1" customWidth="1"/>
    <col min="5" max="5" width="7.5546875" style="205" bestFit="1" customWidth="1"/>
    <col min="6" max="6" width="15" style="205" customWidth="1"/>
    <col min="7" max="8" width="14.5546875" style="205" bestFit="1" customWidth="1"/>
    <col min="9" max="9" width="14.6640625" style="205" customWidth="1"/>
    <col min="10" max="10" width="18" style="205" customWidth="1"/>
    <col min="11" max="11" width="15.88671875" style="205" bestFit="1" customWidth="1"/>
    <col min="12" max="16384" width="9.109375" style="205"/>
  </cols>
  <sheetData>
    <row r="1" spans="2:11" x14ac:dyDescent="0.25">
      <c r="I1" s="3" t="s">
        <v>0</v>
      </c>
      <c r="J1" s="343" t="s">
        <v>98</v>
      </c>
    </row>
    <row r="2" spans="2:11" x14ac:dyDescent="0.25">
      <c r="I2" s="3" t="s">
        <v>99</v>
      </c>
      <c r="J2" s="344">
        <v>8</v>
      </c>
    </row>
    <row r="3" spans="2:11" x14ac:dyDescent="0.25">
      <c r="I3" s="3" t="s">
        <v>100</v>
      </c>
      <c r="J3" s="345" t="s">
        <v>101</v>
      </c>
    </row>
    <row r="4" spans="2:11" x14ac:dyDescent="0.25">
      <c r="I4" s="3"/>
      <c r="J4" s="343"/>
    </row>
    <row r="5" spans="2:11" x14ac:dyDescent="0.25">
      <c r="I5" s="3" t="s">
        <v>76</v>
      </c>
      <c r="J5" s="346">
        <v>42125</v>
      </c>
    </row>
    <row r="9" spans="2:11" ht="14.4" thickBot="1" x14ac:dyDescent="0.3"/>
    <row r="10" spans="2:11" ht="17.399999999999999" thickBot="1" x14ac:dyDescent="0.35">
      <c r="B10" s="390" t="s">
        <v>104</v>
      </c>
      <c r="C10" s="391"/>
      <c r="D10" s="391"/>
      <c r="E10" s="391"/>
      <c r="F10" s="391"/>
      <c r="G10" s="391"/>
      <c r="H10" s="391"/>
      <c r="I10" s="391"/>
      <c r="J10" s="391"/>
      <c r="K10" s="392"/>
    </row>
    <row r="11" spans="2:11" ht="47.25" customHeight="1" thickBot="1" x14ac:dyDescent="0.25">
      <c r="B11" s="372" t="s">
        <v>77</v>
      </c>
      <c r="C11" s="373"/>
      <c r="D11" s="276" t="s">
        <v>78</v>
      </c>
      <c r="E11" s="313" t="s">
        <v>69</v>
      </c>
      <c r="F11" s="276" t="s">
        <v>79</v>
      </c>
      <c r="G11" s="313" t="s">
        <v>88</v>
      </c>
      <c r="H11" s="276" t="s">
        <v>89</v>
      </c>
      <c r="I11" s="313" t="s">
        <v>80</v>
      </c>
      <c r="J11" s="276" t="s">
        <v>94</v>
      </c>
      <c r="K11" s="276" t="s">
        <v>96</v>
      </c>
    </row>
    <row r="12" spans="2:11" ht="14.25" x14ac:dyDescent="0.2">
      <c r="B12" s="208"/>
      <c r="C12" s="209"/>
      <c r="D12" s="210"/>
      <c r="E12" s="314"/>
      <c r="F12" s="212"/>
      <c r="G12" s="209"/>
      <c r="H12" s="212"/>
      <c r="I12" s="209"/>
      <c r="J12" s="212"/>
      <c r="K12" s="212"/>
    </row>
    <row r="13" spans="2:11" ht="14.25" x14ac:dyDescent="0.2">
      <c r="B13" s="395" t="s">
        <v>59</v>
      </c>
      <c r="C13" s="396"/>
      <c r="D13" s="213">
        <v>800</v>
      </c>
      <c r="E13" s="315"/>
      <c r="F13" s="210"/>
      <c r="G13" s="316">
        <f>+Summary!G21</f>
        <v>132.45638896</v>
      </c>
      <c r="H13" s="317">
        <f>+Summary!H21</f>
        <v>136.57051513882962</v>
      </c>
      <c r="I13" s="316">
        <f>+Summary!I21</f>
        <v>4.1141261788296219</v>
      </c>
      <c r="J13" s="273">
        <f>+Summary!J21</f>
        <v>3.1060232059263154E-2</v>
      </c>
      <c r="K13" s="273">
        <f>+Summary!K21</f>
        <v>6.3675714903990946E-2</v>
      </c>
    </row>
    <row r="14" spans="2:11" ht="14.25" x14ac:dyDescent="0.2">
      <c r="B14" s="318"/>
      <c r="C14" s="319"/>
      <c r="D14" s="220"/>
      <c r="E14" s="320"/>
      <c r="F14" s="321"/>
      <c r="G14" s="322"/>
      <c r="H14" s="323"/>
      <c r="I14" s="322"/>
      <c r="J14" s="324"/>
      <c r="K14" s="324"/>
    </row>
    <row r="15" spans="2:11" ht="14.25" x14ac:dyDescent="0.2">
      <c r="B15" s="325"/>
      <c r="C15" s="326"/>
      <c r="D15" s="228"/>
      <c r="E15" s="327"/>
      <c r="F15" s="328"/>
      <c r="G15" s="329"/>
      <c r="H15" s="330"/>
      <c r="I15" s="329"/>
      <c r="J15" s="331"/>
      <c r="K15" s="331"/>
    </row>
    <row r="16" spans="2:11" ht="14.25" x14ac:dyDescent="0.2">
      <c r="B16" s="393" t="s">
        <v>67</v>
      </c>
      <c r="C16" s="394"/>
      <c r="D16" s="217">
        <v>2000</v>
      </c>
      <c r="E16" s="315"/>
      <c r="F16" s="210"/>
      <c r="G16" s="316">
        <f>+Summary!G28</f>
        <v>311.89134880000006</v>
      </c>
      <c r="H16" s="317">
        <f>+Summary!H28</f>
        <v>320.90821879630676</v>
      </c>
      <c r="I16" s="316">
        <f>+Summary!I28</f>
        <v>9.0168699963066956</v>
      </c>
      <c r="J16" s="273">
        <f>+Summary!J28</f>
        <v>2.8910292096908249E-2</v>
      </c>
      <c r="K16" s="273">
        <f>+Summary!K28</f>
        <v>5.4936378119149365E-2</v>
      </c>
    </row>
    <row r="17" spans="2:11" ht="14.25" x14ac:dyDescent="0.2">
      <c r="B17" s="318"/>
      <c r="C17" s="319"/>
      <c r="D17" s="220"/>
      <c r="E17" s="320"/>
      <c r="F17" s="321"/>
      <c r="G17" s="322"/>
      <c r="H17" s="323"/>
      <c r="I17" s="322"/>
      <c r="J17" s="324"/>
      <c r="K17" s="324"/>
    </row>
    <row r="18" spans="2:11" ht="14.25" x14ac:dyDescent="0.2">
      <c r="B18" s="325"/>
      <c r="C18" s="326"/>
      <c r="D18" s="228"/>
      <c r="E18" s="327"/>
      <c r="F18" s="328"/>
      <c r="G18" s="329"/>
      <c r="H18" s="330"/>
      <c r="I18" s="329"/>
      <c r="J18" s="331"/>
      <c r="K18" s="331"/>
    </row>
    <row r="19" spans="2:11" ht="14.25" x14ac:dyDescent="0.2">
      <c r="B19" s="393" t="s">
        <v>85</v>
      </c>
      <c r="C19" s="394"/>
      <c r="D19" s="217">
        <v>100000</v>
      </c>
      <c r="E19" s="315">
        <v>250</v>
      </c>
      <c r="F19" s="210"/>
      <c r="G19" s="316">
        <f>+Summary!G36</f>
        <v>15009.573039999999</v>
      </c>
      <c r="H19" s="317">
        <f>+Summary!H36</f>
        <v>15807.249511178896</v>
      </c>
      <c r="I19" s="316">
        <f>+Summary!I36</f>
        <v>797.67647117889646</v>
      </c>
      <c r="J19" s="273">
        <f>+Summary!J36</f>
        <v>5.3144514441091424E-2</v>
      </c>
      <c r="K19" s="273">
        <f>+Summary!K36</f>
        <v>0.11175640526203445</v>
      </c>
    </row>
    <row r="20" spans="2:11" ht="14.25" x14ac:dyDescent="0.2">
      <c r="B20" s="318"/>
      <c r="C20" s="319"/>
      <c r="D20" s="220"/>
      <c r="E20" s="332"/>
      <c r="F20" s="321"/>
      <c r="G20" s="322"/>
      <c r="H20" s="323"/>
      <c r="I20" s="322"/>
      <c r="J20" s="324"/>
      <c r="K20" s="324"/>
    </row>
    <row r="21" spans="2:11" ht="14.25" x14ac:dyDescent="0.2">
      <c r="B21" s="325"/>
      <c r="C21" s="326"/>
      <c r="D21" s="228"/>
      <c r="E21" s="327"/>
      <c r="F21" s="328"/>
      <c r="G21" s="329"/>
      <c r="H21" s="330"/>
      <c r="I21" s="329"/>
      <c r="J21" s="331"/>
      <c r="K21" s="331"/>
    </row>
    <row r="22" spans="2:11" ht="14.25" x14ac:dyDescent="0.2">
      <c r="B22" s="393" t="s">
        <v>71</v>
      </c>
      <c r="C22" s="394"/>
      <c r="D22" s="217">
        <v>8000000</v>
      </c>
      <c r="E22" s="333">
        <v>14500</v>
      </c>
      <c r="F22" s="210"/>
      <c r="G22" s="316">
        <f>+Summary!G41</f>
        <v>1104488.4080999999</v>
      </c>
      <c r="H22" s="317">
        <f>+Summary!H41</f>
        <v>1139997.7074395991</v>
      </c>
      <c r="I22" s="316">
        <f>+Summary!I41</f>
        <v>35509.299339599209</v>
      </c>
      <c r="J22" s="273">
        <f>+Summary!J41</f>
        <v>3.2149997301179657E-2</v>
      </c>
      <c r="K22" s="273">
        <f>+Summary!K41</f>
        <v>0.16455076254258996</v>
      </c>
    </row>
    <row r="23" spans="2:11" ht="14.25" x14ac:dyDescent="0.2">
      <c r="B23" s="334"/>
      <c r="C23" s="335"/>
      <c r="D23" s="220"/>
      <c r="E23" s="332"/>
      <c r="F23" s="321"/>
      <c r="G23" s="322"/>
      <c r="H23" s="323"/>
      <c r="I23" s="322"/>
      <c r="J23" s="324"/>
      <c r="K23" s="324"/>
    </row>
    <row r="24" spans="2:11" ht="14.25" x14ac:dyDescent="0.2">
      <c r="B24" s="325"/>
      <c r="C24" s="326"/>
      <c r="D24" s="228"/>
      <c r="E24" s="327"/>
      <c r="F24" s="328"/>
      <c r="G24" s="329"/>
      <c r="H24" s="330"/>
      <c r="I24" s="329"/>
      <c r="J24" s="331"/>
      <c r="K24" s="331"/>
    </row>
    <row r="25" spans="2:11" ht="14.25" x14ac:dyDescent="0.2">
      <c r="B25" s="393" t="s">
        <v>82</v>
      </c>
      <c r="C25" s="394"/>
      <c r="D25" s="217">
        <v>150</v>
      </c>
      <c r="E25" s="315"/>
      <c r="F25" s="213">
        <v>1</v>
      </c>
      <c r="G25" s="316">
        <f>+Summary!G44</f>
        <v>186.69982266000002</v>
      </c>
      <c r="H25" s="317">
        <f>+Summary!H44</f>
        <v>180.59134755501964</v>
      </c>
      <c r="I25" s="316">
        <f>+Summary!I44</f>
        <v>-6.1084751049803856</v>
      </c>
      <c r="J25" s="273">
        <f>+Summary!J44</f>
        <v>-3.2718162331115651E-2</v>
      </c>
      <c r="K25" s="273">
        <f>+Summary!K44</f>
        <v>-0.30624785535172222</v>
      </c>
    </row>
    <row r="26" spans="2:11" ht="14.25" x14ac:dyDescent="0.2">
      <c r="B26" s="334"/>
      <c r="C26" s="335"/>
      <c r="D26" s="220"/>
      <c r="E26" s="320"/>
      <c r="F26" s="336"/>
      <c r="G26" s="322"/>
      <c r="H26" s="323"/>
      <c r="I26" s="322"/>
      <c r="J26" s="324"/>
      <c r="K26" s="324"/>
    </row>
    <row r="27" spans="2:11" ht="14.25" x14ac:dyDescent="0.2">
      <c r="B27" s="325"/>
      <c r="C27" s="326"/>
      <c r="D27" s="228"/>
      <c r="E27" s="327"/>
      <c r="F27" s="228"/>
      <c r="G27" s="329"/>
      <c r="H27" s="330"/>
      <c r="I27" s="329"/>
      <c r="J27" s="331"/>
      <c r="K27" s="331"/>
    </row>
    <row r="28" spans="2:11" ht="14.25" x14ac:dyDescent="0.2">
      <c r="B28" s="393" t="s">
        <v>72</v>
      </c>
      <c r="C28" s="394"/>
      <c r="D28" s="213">
        <v>50</v>
      </c>
      <c r="E28" s="315">
        <v>0.14000000000000001</v>
      </c>
      <c r="F28" s="213">
        <v>1</v>
      </c>
      <c r="G28" s="316">
        <f>+Summary!G48</f>
        <v>8.720370459999998</v>
      </c>
      <c r="H28" s="317">
        <f>+Summary!H48</f>
        <v>9.2273496058516304</v>
      </c>
      <c r="I28" s="316">
        <f>+Summary!I48</f>
        <v>0.5069791458516324</v>
      </c>
      <c r="J28" s="273">
        <f>+Summary!J48</f>
        <v>5.8137340400516942E-2</v>
      </c>
      <c r="K28" s="273">
        <f>+Summary!K48</f>
        <v>0.11127078388149089</v>
      </c>
    </row>
    <row r="29" spans="2:11" ht="15" thickBot="1" x14ac:dyDescent="0.25">
      <c r="B29" s="337"/>
      <c r="C29" s="338"/>
      <c r="D29" s="339"/>
      <c r="E29" s="338"/>
      <c r="F29" s="339"/>
      <c r="G29" s="338"/>
      <c r="H29" s="339"/>
      <c r="I29" s="338"/>
      <c r="J29" s="339"/>
      <c r="K29" s="339"/>
    </row>
    <row r="30" spans="2:11" x14ac:dyDescent="0.25">
      <c r="B30" s="325"/>
      <c r="C30" s="326"/>
      <c r="D30" s="228"/>
      <c r="E30" s="327"/>
      <c r="F30" s="228"/>
      <c r="G30" s="329"/>
      <c r="H30" s="330"/>
      <c r="I30" s="329"/>
      <c r="J30" s="331"/>
      <c r="K30" s="331"/>
    </row>
    <row r="31" spans="2:11" x14ac:dyDescent="0.25">
      <c r="B31" s="393" t="s">
        <v>91</v>
      </c>
      <c r="C31" s="394"/>
      <c r="D31" s="340">
        <v>2615000</v>
      </c>
      <c r="E31" s="341">
        <v>6000</v>
      </c>
      <c r="F31" s="213"/>
      <c r="G31" s="316">
        <f>+Summary!G51</f>
        <v>318739.21582499996</v>
      </c>
      <c r="H31" s="317">
        <f>+Summary!H51</f>
        <v>331224.37055931927</v>
      </c>
      <c r="I31" s="316">
        <f>+Summary!I51</f>
        <v>12485.154734319309</v>
      </c>
      <c r="J31" s="273">
        <f>+Summary!J51</f>
        <v>3.9170438133894814E-2</v>
      </c>
      <c r="K31" s="273">
        <f>+Summary!K51</f>
        <v>-19.991897826774782</v>
      </c>
    </row>
    <row r="32" spans="2:11" ht="14.4" thickBot="1" x14ac:dyDescent="0.3">
      <c r="B32" s="241"/>
      <c r="C32" s="242"/>
      <c r="D32" s="243"/>
      <c r="E32" s="242"/>
      <c r="F32" s="243"/>
      <c r="G32" s="242"/>
      <c r="H32" s="243"/>
      <c r="I32" s="242"/>
      <c r="J32" s="243"/>
      <c r="K32" s="243"/>
    </row>
  </sheetData>
  <mergeCells count="9">
    <mergeCell ref="B10:K10"/>
    <mergeCell ref="B25:C25"/>
    <mergeCell ref="B28:C28"/>
    <mergeCell ref="B31:C31"/>
    <mergeCell ref="B11:C11"/>
    <mergeCell ref="B13:C13"/>
    <mergeCell ref="B16:C16"/>
    <mergeCell ref="B19:C19"/>
    <mergeCell ref="B22:C22"/>
  </mergeCells>
  <pageMargins left="0.7" right="0.7" top="0.75" bottom="0.75" header="0.3" footer="0.3"/>
  <pageSetup scale="64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6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59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500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500</v>
      </c>
      <c r="H25" s="27">
        <f t="shared" si="0"/>
        <v>-0.05</v>
      </c>
      <c r="I25" s="28"/>
      <c r="J25" s="173">
        <f>+'Res (100kWh)'!$J$25</f>
        <v>0</v>
      </c>
      <c r="K25" s="26">
        <f>$F$16</f>
        <v>500</v>
      </c>
      <c r="L25" s="27">
        <f t="shared" si="1"/>
        <v>0</v>
      </c>
      <c r="M25" s="28"/>
      <c r="N25" s="31">
        <f t="shared" si="2"/>
        <v>0.05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500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500</v>
      </c>
      <c r="L26" s="27">
        <f t="shared" si="1"/>
        <v>-0.3</v>
      </c>
      <c r="M26" s="28"/>
      <c r="N26" s="31">
        <f t="shared" si="2"/>
        <v>-0.3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500</v>
      </c>
      <c r="H27" s="27">
        <f t="shared" si="0"/>
        <v>9.6</v>
      </c>
      <c r="I27" s="28"/>
      <c r="J27" s="29">
        <f>+'Res (100kWh)'!$J$27</f>
        <v>2.1700000000000001E-2</v>
      </c>
      <c r="K27" s="26">
        <f>$F$16</f>
        <v>500</v>
      </c>
      <c r="L27" s="27">
        <f t="shared" si="1"/>
        <v>10.85</v>
      </c>
      <c r="M27" s="28"/>
      <c r="N27" s="31">
        <f t="shared" si="2"/>
        <v>1.25</v>
      </c>
      <c r="O27" s="32">
        <f>IF((H27)=0,"",(N27/H27))</f>
        <v>0.13020833333333334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500</v>
      </c>
      <c r="H28" s="27">
        <f t="shared" si="0"/>
        <v>0</v>
      </c>
      <c r="I28" s="28"/>
      <c r="J28" s="29"/>
      <c r="K28" s="26">
        <f t="shared" ref="K28:K36" si="4">$F$16</f>
        <v>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500</v>
      </c>
      <c r="H29" s="27">
        <f t="shared" si="0"/>
        <v>0</v>
      </c>
      <c r="I29" s="28"/>
      <c r="J29" s="29"/>
      <c r="K29" s="26">
        <f t="shared" si="4"/>
        <v>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500</v>
      </c>
      <c r="H30" s="27">
        <f t="shared" si="0"/>
        <v>0</v>
      </c>
      <c r="I30" s="28"/>
      <c r="J30" s="29"/>
      <c r="K30" s="26">
        <f t="shared" si="4"/>
        <v>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500</v>
      </c>
      <c r="H31" s="27">
        <f t="shared" si="0"/>
        <v>0</v>
      </c>
      <c r="I31" s="28"/>
      <c r="J31" s="29"/>
      <c r="K31" s="26">
        <f t="shared" si="4"/>
        <v>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500</v>
      </c>
      <c r="H32" s="27">
        <f t="shared" si="0"/>
        <v>0</v>
      </c>
      <c r="I32" s="28"/>
      <c r="J32" s="29"/>
      <c r="K32" s="26">
        <f t="shared" si="4"/>
        <v>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500</v>
      </c>
      <c r="H33" s="27">
        <f t="shared" si="0"/>
        <v>0</v>
      </c>
      <c r="I33" s="28"/>
      <c r="J33" s="29"/>
      <c r="K33" s="26">
        <f t="shared" si="4"/>
        <v>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500</v>
      </c>
      <c r="H34" s="27">
        <f t="shared" si="0"/>
        <v>0</v>
      </c>
      <c r="I34" s="28"/>
      <c r="J34" s="29"/>
      <c r="K34" s="26">
        <f t="shared" si="4"/>
        <v>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500</v>
      </c>
      <c r="H35" s="27">
        <f t="shared" si="0"/>
        <v>0</v>
      </c>
      <c r="I35" s="28"/>
      <c r="J35" s="29"/>
      <c r="K35" s="26">
        <f t="shared" si="4"/>
        <v>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500</v>
      </c>
      <c r="H36" s="27">
        <f t="shared" si="0"/>
        <v>0</v>
      </c>
      <c r="I36" s="28"/>
      <c r="J36" s="29"/>
      <c r="K36" s="26">
        <f t="shared" si="4"/>
        <v>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26.86</v>
      </c>
      <c r="I37" s="41"/>
      <c r="J37" s="42"/>
      <c r="K37" s="43"/>
      <c r="L37" s="40">
        <f>SUM(L21:L36)</f>
        <v>28.33519154872107</v>
      </c>
      <c r="M37" s="41"/>
      <c r="N37" s="44">
        <f t="shared" si="2"/>
        <v>1.4751915487210709</v>
      </c>
      <c r="O37" s="45">
        <f t="shared" si="3"/>
        <v>5.4921502186190282E-2</v>
      </c>
    </row>
    <row r="38" spans="2:15" ht="15" hidden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500</v>
      </c>
      <c r="H39" s="27">
        <f t="shared" ref="H39:H45" si="6">G39*F39</f>
        <v>-0.7</v>
      </c>
      <c r="I39" s="28"/>
      <c r="J39" s="29">
        <f>+'Res (100kWh)'!$J$39</f>
        <v>1.6265827088216363E-3</v>
      </c>
      <c r="K39" s="26">
        <f>$F$16</f>
        <v>500</v>
      </c>
      <c r="L39" s="27">
        <f t="shared" ref="L39:L45" si="7">K39*J39</f>
        <v>0.81329135441081812</v>
      </c>
      <c r="M39" s="28"/>
      <c r="N39" s="31">
        <f t="shared" si="2"/>
        <v>1.5132913544108182</v>
      </c>
      <c r="O39" s="32">
        <f t="shared" si="3"/>
        <v>-2.1618447920154549</v>
      </c>
    </row>
    <row r="40" spans="2:15" ht="15" hidden="1" customHeight="1" x14ac:dyDescent="0.25">
      <c r="B40" s="46"/>
      <c r="C40" s="22"/>
      <c r="D40" s="23" t="s">
        <v>61</v>
      </c>
      <c r="E40" s="24"/>
      <c r="F40" s="25"/>
      <c r="G40" s="26">
        <f>$F$16</f>
        <v>500</v>
      </c>
      <c r="H40" s="27">
        <f t="shared" si="6"/>
        <v>0</v>
      </c>
      <c r="I40" s="47"/>
      <c r="J40" s="29"/>
      <c r="K40" s="26">
        <f>$F$16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customHeight="1" x14ac:dyDescent="0.25">
      <c r="B41" s="46"/>
      <c r="C41" s="22"/>
      <c r="D41" s="23" t="s">
        <v>61</v>
      </c>
      <c r="E41" s="24"/>
      <c r="F41" s="25"/>
      <c r="G41" s="26">
        <f>$F$16</f>
        <v>500</v>
      </c>
      <c r="H41" s="27">
        <f t="shared" si="6"/>
        <v>0</v>
      </c>
      <c r="I41" s="47"/>
      <c r="J41" s="29"/>
      <c r="K41" s="26">
        <f>$F$16</f>
        <v>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500</v>
      </c>
      <c r="H42" s="27">
        <f t="shared" si="6"/>
        <v>0</v>
      </c>
      <c r="I42" s="47"/>
      <c r="J42" s="29"/>
      <c r="K42" s="26">
        <f>$F$16</f>
        <v>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500</v>
      </c>
      <c r="H43" s="27">
        <f t="shared" si="6"/>
        <v>0.05</v>
      </c>
      <c r="I43" s="28"/>
      <c r="J43" s="29">
        <f>+'Res (100kWh)'!$J$43</f>
        <v>2.0000000000000001E-4</v>
      </c>
      <c r="K43" s="26">
        <f>$F$16</f>
        <v>500</v>
      </c>
      <c r="L43" s="27">
        <f t="shared" si="7"/>
        <v>0.1</v>
      </c>
      <c r="M43" s="28"/>
      <c r="N43" s="31">
        <f t="shared" si="2"/>
        <v>0.05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20.200000000000045</v>
      </c>
      <c r="H44" s="184">
        <f t="shared" si="6"/>
        <v>1.9190000000000043</v>
      </c>
      <c r="I44" s="57"/>
      <c r="J44" s="185">
        <f>0.64*$F$54+0.18*$F$55+0.18*$F$56</f>
        <v>9.5000000000000001E-2</v>
      </c>
      <c r="K44" s="26">
        <f>$F$16*(1+$J$73)-$F$16</f>
        <v>18.100000000000023</v>
      </c>
      <c r="L44" s="184">
        <f t="shared" si="7"/>
        <v>1.7195000000000022</v>
      </c>
      <c r="M44" s="57"/>
      <c r="N44" s="186">
        <f t="shared" si="2"/>
        <v>-0.19950000000000201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8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28.919000000000004</v>
      </c>
      <c r="I46" s="41"/>
      <c r="J46" s="53"/>
      <c r="K46" s="55"/>
      <c r="L46" s="54">
        <f>SUM(L38:L45)+L37</f>
        <v>31.757982903131889</v>
      </c>
      <c r="M46" s="41"/>
      <c r="N46" s="44">
        <f t="shared" si="2"/>
        <v>2.8389829031318854</v>
      </c>
      <c r="O46" s="45">
        <f t="shared" ref="O46:O64" si="8">IF((H46)=0,"",(N46/H46))</f>
        <v>9.8170161593827063E-2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520.20000000000005</v>
      </c>
      <c r="H47" s="27">
        <f>G47*F47</f>
        <v>3.9535200000000001</v>
      </c>
      <c r="I47" s="28"/>
      <c r="J47" s="263">
        <f>+'Res (100kWh)'!$J$47</f>
        <v>7.4000000000000003E-3</v>
      </c>
      <c r="K47" s="70">
        <f>F16*(1+J73)</f>
        <v>518.1</v>
      </c>
      <c r="L47" s="27">
        <f>K47*J47</f>
        <v>3.8339400000000001</v>
      </c>
      <c r="M47" s="28"/>
      <c r="N47" s="31">
        <f t="shared" si="2"/>
        <v>-0.11958000000000002</v>
      </c>
      <c r="O47" s="32">
        <f t="shared" si="8"/>
        <v>-3.0246463910641661E-2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520.20000000000005</v>
      </c>
      <c r="H48" s="27">
        <f>G48*F48</f>
        <v>1.1964600000000001</v>
      </c>
      <c r="I48" s="28"/>
      <c r="J48" s="263">
        <f>+'Res (100kWh)'!$J$48</f>
        <v>2.3E-3</v>
      </c>
      <c r="K48" s="70">
        <f>K47</f>
        <v>518.1</v>
      </c>
      <c r="L48" s="27">
        <f>K48*J48</f>
        <v>1.19163</v>
      </c>
      <c r="M48" s="28"/>
      <c r="N48" s="31">
        <f t="shared" si="2"/>
        <v>-4.830000000000112E-3</v>
      </c>
      <c r="O48" s="32">
        <f t="shared" si="8"/>
        <v>-4.036908881199632E-3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34.068980000000003</v>
      </c>
      <c r="I49" s="61"/>
      <c r="J49" s="62"/>
      <c r="K49" s="62"/>
      <c r="L49" s="54">
        <f>SUM(L46:L48)</f>
        <v>36.783552903131891</v>
      </c>
      <c r="M49" s="61"/>
      <c r="N49" s="44">
        <f t="shared" si="2"/>
        <v>2.7145729031318879</v>
      </c>
      <c r="O49" s="45">
        <f t="shared" si="8"/>
        <v>7.9678725430931241E-2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520.20000000000005</v>
      </c>
      <c r="H50" s="66">
        <f t="shared" ref="H50:H56" si="9">G50*F50</f>
        <v>2.2888800000000002</v>
      </c>
      <c r="I50" s="28"/>
      <c r="J50" s="263">
        <f>+'Res (100kWh)'!$J$50</f>
        <v>4.4000000000000003E-3</v>
      </c>
      <c r="K50" s="70">
        <f>K48</f>
        <v>518.1</v>
      </c>
      <c r="L50" s="66">
        <f t="shared" ref="L50:L56" si="10">K50*J50</f>
        <v>2.2796400000000001</v>
      </c>
      <c r="M50" s="28"/>
      <c r="N50" s="31">
        <f t="shared" si="2"/>
        <v>-9.240000000000137E-3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520.20000000000005</v>
      </c>
      <c r="H51" s="66">
        <f t="shared" si="9"/>
        <v>0.67626000000000008</v>
      </c>
      <c r="I51" s="28"/>
      <c r="J51" s="263">
        <f>+'Res (100kWh)'!$J$51</f>
        <v>1.2999999999999999E-3</v>
      </c>
      <c r="K51" s="70">
        <f>K48</f>
        <v>518.1</v>
      </c>
      <c r="L51" s="66">
        <f t="shared" si="10"/>
        <v>0.67352999999999996</v>
      </c>
      <c r="M51" s="28"/>
      <c r="N51" s="31">
        <f t="shared" si="2"/>
        <v>-2.7300000000001212E-3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500</v>
      </c>
      <c r="H53" s="66">
        <f t="shared" si="9"/>
        <v>3.5</v>
      </c>
      <c r="I53" s="28"/>
      <c r="J53" s="263">
        <f>+'Res (100kWh)'!$J$53</f>
        <v>7.0000000000000001E-3</v>
      </c>
      <c r="K53" s="70">
        <f>F16</f>
        <v>500</v>
      </c>
      <c r="L53" s="66">
        <f t="shared" si="10"/>
        <v>3.5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320</v>
      </c>
      <c r="H54" s="66">
        <f t="shared" si="9"/>
        <v>24.64</v>
      </c>
      <c r="I54" s="28"/>
      <c r="J54" s="263">
        <f>+'Res (100kWh)'!$J$54</f>
        <v>7.6999999999999999E-2</v>
      </c>
      <c r="K54" s="69">
        <f>G54</f>
        <v>320</v>
      </c>
      <c r="L54" s="66">
        <f t="shared" si="10"/>
        <v>24.64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90</v>
      </c>
      <c r="H55" s="66">
        <f t="shared" si="9"/>
        <v>10.26</v>
      </c>
      <c r="I55" s="28"/>
      <c r="J55" s="263">
        <f>+'Res (100kWh)'!$J$55</f>
        <v>0.114</v>
      </c>
      <c r="K55" s="69">
        <f>G55</f>
        <v>90</v>
      </c>
      <c r="L55" s="66">
        <f t="shared" si="10"/>
        <v>10.26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90</v>
      </c>
      <c r="H56" s="66">
        <f t="shared" si="9"/>
        <v>12.600000000000001</v>
      </c>
      <c r="I56" s="28"/>
      <c r="J56" s="263">
        <f>+'Res (100kWh)'!$J$56</f>
        <v>0.14000000000000001</v>
      </c>
      <c r="K56" s="69">
        <f>G56</f>
        <v>90</v>
      </c>
      <c r="L56" s="66">
        <f t="shared" si="10"/>
        <v>12.600000000000001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500</v>
      </c>
      <c r="H57" s="66">
        <f>G57*F57</f>
        <v>44</v>
      </c>
      <c r="I57" s="79"/>
      <c r="J57" s="263">
        <f>+'Res (100kWh)'!$J$57</f>
        <v>8.7999999999999995E-2</v>
      </c>
      <c r="K57" s="78">
        <f>G57</f>
        <v>500</v>
      </c>
      <c r="L57" s="66">
        <f>K57*J57</f>
        <v>44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88.284120000000001</v>
      </c>
      <c r="I60" s="95"/>
      <c r="J60" s="96"/>
      <c r="K60" s="96"/>
      <c r="L60" s="190">
        <f>SUM(L50:L56,L49)</f>
        <v>90.986722903131891</v>
      </c>
      <c r="M60" s="97"/>
      <c r="N60" s="98">
        <f>L60-H60</f>
        <v>2.7026029031318899</v>
      </c>
      <c r="O60" s="99">
        <f>IF((H60)=0,"",(N60/H60))</f>
        <v>3.0612559802735643E-2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11.476935600000001</v>
      </c>
      <c r="I61" s="104"/>
      <c r="J61" s="105">
        <v>0.13</v>
      </c>
      <c r="K61" s="104"/>
      <c r="L61" s="106">
        <f>L60*J61</f>
        <v>11.828273977407147</v>
      </c>
      <c r="M61" s="107"/>
      <c r="N61" s="108">
        <f t="shared" si="2"/>
        <v>0.35133837740714569</v>
      </c>
      <c r="O61" s="109">
        <f t="shared" si="8"/>
        <v>3.0612559802735643E-2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99.761055600000006</v>
      </c>
      <c r="I62" s="104"/>
      <c r="J62" s="104"/>
      <c r="K62" s="104"/>
      <c r="L62" s="106">
        <f>L60+L61</f>
        <v>102.81499688053904</v>
      </c>
      <c r="M62" s="107"/>
      <c r="N62" s="108">
        <f t="shared" si="2"/>
        <v>3.0539412805390356</v>
      </c>
      <c r="O62" s="109">
        <f t="shared" si="8"/>
        <v>3.0612559802735643E-2</v>
      </c>
      <c r="S62" s="72"/>
    </row>
    <row r="63" spans="2:19" ht="15.75" customHeight="1" x14ac:dyDescent="0.3">
      <c r="B63" s="363" t="s">
        <v>43</v>
      </c>
      <c r="C63" s="363"/>
      <c r="D63" s="363"/>
      <c r="E63" s="22"/>
      <c r="F63" s="111"/>
      <c r="G63" s="102"/>
      <c r="H63" s="112">
        <f>ROUND(-H62*10%,2)</f>
        <v>-9.98</v>
      </c>
      <c r="I63" s="104"/>
      <c r="J63" s="104"/>
      <c r="K63" s="104"/>
      <c r="L63" s="113">
        <f>ROUND(-L62*10%,2)</f>
        <v>-10.28</v>
      </c>
      <c r="M63" s="107"/>
      <c r="N63" s="114">
        <f t="shared" si="2"/>
        <v>-0.29999999999999893</v>
      </c>
      <c r="O63" s="115">
        <f t="shared" si="8"/>
        <v>3.0060120240480853E-2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89.781055600000002</v>
      </c>
      <c r="I64" s="120"/>
      <c r="J64" s="120"/>
      <c r="K64" s="120"/>
      <c r="L64" s="121">
        <f>L62+L63</f>
        <v>92.53499688053904</v>
      </c>
      <c r="M64" s="122"/>
      <c r="N64" s="123">
        <f t="shared" si="2"/>
        <v>2.7539412805390384</v>
      </c>
      <c r="O64" s="124">
        <f t="shared" si="8"/>
        <v>3.0673968602113855E-2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84.784120000000016</v>
      </c>
      <c r="I66" s="136"/>
      <c r="J66" s="137"/>
      <c r="K66" s="137"/>
      <c r="L66" s="189">
        <f>SUM(L57:L58,L49,L50:L53)</f>
        <v>87.486722903131891</v>
      </c>
      <c r="M66" s="138"/>
      <c r="N66" s="139">
        <f>L66-H66</f>
        <v>2.7026029031318757</v>
      </c>
      <c r="O66" s="99">
        <f>IF((H66)=0,"",(N66/H66))</f>
        <v>3.1876286539647698E-2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11.021935600000003</v>
      </c>
      <c r="I67" s="143"/>
      <c r="J67" s="144">
        <v>0.13</v>
      </c>
      <c r="K67" s="145"/>
      <c r="L67" s="146">
        <f>L66*J67</f>
        <v>11.373273977407147</v>
      </c>
      <c r="M67" s="147"/>
      <c r="N67" s="148">
        <f>L67-H67</f>
        <v>0.35133837740714391</v>
      </c>
      <c r="O67" s="109">
        <f>IF((H67)=0,"",(N67/H67))</f>
        <v>3.1876286539647705E-2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95.806055600000022</v>
      </c>
      <c r="I68" s="143"/>
      <c r="J68" s="143"/>
      <c r="K68" s="143"/>
      <c r="L68" s="146">
        <f>L66+L67</f>
        <v>98.859996880539043</v>
      </c>
      <c r="M68" s="147"/>
      <c r="N68" s="148">
        <f>L68-H68</f>
        <v>3.0539412805390214</v>
      </c>
      <c r="O68" s="109">
        <f>IF((H68)=0,"",(N68/H68))</f>
        <v>3.1876286539647719E-2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-9.58</v>
      </c>
      <c r="I69" s="143"/>
      <c r="J69" s="143"/>
      <c r="K69" s="143"/>
      <c r="L69" s="153">
        <f>ROUND(-L68*10%,2)</f>
        <v>-9.89</v>
      </c>
      <c r="M69" s="147"/>
      <c r="N69" s="154">
        <f>L69-H69</f>
        <v>-0.3100000000000005</v>
      </c>
      <c r="O69" s="115">
        <f>IF((H69)=0,"",(N69/H69))</f>
        <v>3.2359081419624271E-2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86.226055600000024</v>
      </c>
      <c r="I70" s="159"/>
      <c r="J70" s="159"/>
      <c r="K70" s="159"/>
      <c r="L70" s="160">
        <f>SUM(L68:L69)</f>
        <v>88.969996880539043</v>
      </c>
      <c r="M70" s="161"/>
      <c r="N70" s="162">
        <f>L70-H70</f>
        <v>2.7439412805390191</v>
      </c>
      <c r="O70" s="163">
        <f>IF((H70)=0,"",(N70/H70))</f>
        <v>3.1822646431469356E-2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D12:O12"/>
    <mergeCell ref="N1:O1"/>
    <mergeCell ref="N2:O2"/>
    <mergeCell ref="N5:O5"/>
    <mergeCell ref="B8:O8"/>
    <mergeCell ref="B9:O9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CC"/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customWidth="1"/>
    <col min="16" max="16" width="6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51">
        <v>42125</v>
      </c>
      <c r="O5" s="351"/>
      <c r="P5" s="191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59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800</v>
      </c>
      <c r="G16" s="13" t="s">
        <v>7</v>
      </c>
      <c r="J16" s="280"/>
      <c r="K16" s="34"/>
      <c r="L16" s="34"/>
    </row>
    <row r="17" spans="2:15" ht="15" x14ac:dyDescent="0.25">
      <c r="B17" s="12"/>
      <c r="F17" s="281"/>
      <c r="G17" s="34"/>
      <c r="H17" s="34"/>
      <c r="J17" s="281"/>
      <c r="K17" s="34"/>
      <c r="L17" s="34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92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>IF((H24)=0,"",(N24/H24))</f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800</v>
      </c>
      <c r="H25" s="27">
        <f t="shared" si="0"/>
        <v>-0.08</v>
      </c>
      <c r="I25" s="28"/>
      <c r="J25" s="29">
        <f>+'Res (100kWh)'!$J$25</f>
        <v>0</v>
      </c>
      <c r="K25" s="26">
        <f>$F$16</f>
        <v>800</v>
      </c>
      <c r="L25" s="27">
        <f t="shared" si="1"/>
        <v>0</v>
      </c>
      <c r="M25" s="28"/>
      <c r="N25" s="31">
        <f t="shared" si="2"/>
        <v>0.08</v>
      </c>
      <c r="O25" s="32">
        <f t="shared" si="3"/>
        <v>-1</v>
      </c>
    </row>
    <row r="26" spans="2:15" ht="15" customHeight="1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800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800</v>
      </c>
      <c r="L26" s="27">
        <f t="shared" si="1"/>
        <v>-0.48</v>
      </c>
      <c r="M26" s="28"/>
      <c r="N26" s="31">
        <f t="shared" si="2"/>
        <v>-0.48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800</v>
      </c>
      <c r="H27" s="27">
        <f t="shared" si="0"/>
        <v>15.36</v>
      </c>
      <c r="I27" s="28"/>
      <c r="J27" s="29">
        <f>+'Res (100kWh)'!$J$27</f>
        <v>2.1700000000000001E-2</v>
      </c>
      <c r="K27" s="26">
        <f>$F$16</f>
        <v>800</v>
      </c>
      <c r="L27" s="27">
        <f t="shared" si="1"/>
        <v>17.36</v>
      </c>
      <c r="M27" s="28"/>
      <c r="N27" s="31">
        <f t="shared" si="2"/>
        <v>2</v>
      </c>
      <c r="O27" s="32">
        <f t="shared" si="3"/>
        <v>0.13020833333333334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800</v>
      </c>
      <c r="H28" s="27">
        <f t="shared" si="0"/>
        <v>0</v>
      </c>
      <c r="I28" s="28"/>
      <c r="J28" s="29"/>
      <c r="K28" s="26">
        <f t="shared" ref="K28:K36" si="4">$F$16</f>
        <v>800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800</v>
      </c>
      <c r="H29" s="27">
        <f t="shared" si="0"/>
        <v>0</v>
      </c>
      <c r="I29" s="28"/>
      <c r="J29" s="29"/>
      <c r="K29" s="26">
        <f t="shared" si="4"/>
        <v>800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800</v>
      </c>
      <c r="H30" s="27">
        <f t="shared" si="0"/>
        <v>0</v>
      </c>
      <c r="I30" s="28"/>
      <c r="J30" s="29"/>
      <c r="K30" s="26">
        <f t="shared" si="4"/>
        <v>800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800</v>
      </c>
      <c r="H31" s="27">
        <f t="shared" si="0"/>
        <v>0</v>
      </c>
      <c r="I31" s="28"/>
      <c r="J31" s="29"/>
      <c r="K31" s="26">
        <f t="shared" si="4"/>
        <v>800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800</v>
      </c>
      <c r="H32" s="27">
        <f t="shared" si="0"/>
        <v>0</v>
      </c>
      <c r="I32" s="28"/>
      <c r="J32" s="29"/>
      <c r="K32" s="26">
        <f t="shared" si="4"/>
        <v>800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800</v>
      </c>
      <c r="H33" s="27">
        <f t="shared" si="0"/>
        <v>0</v>
      </c>
      <c r="I33" s="28"/>
      <c r="J33" s="29"/>
      <c r="K33" s="26">
        <f t="shared" si="4"/>
        <v>800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800</v>
      </c>
      <c r="H34" s="27">
        <f t="shared" si="0"/>
        <v>0</v>
      </c>
      <c r="I34" s="28"/>
      <c r="J34" s="29"/>
      <c r="K34" s="26">
        <f t="shared" si="4"/>
        <v>800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800</v>
      </c>
      <c r="H35" s="27">
        <f t="shared" si="0"/>
        <v>0</v>
      </c>
      <c r="I35" s="28"/>
      <c r="J35" s="29"/>
      <c r="K35" s="26">
        <f t="shared" si="4"/>
        <v>800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800</v>
      </c>
      <c r="H36" s="27">
        <f t="shared" si="0"/>
        <v>0</v>
      </c>
      <c r="I36" s="28"/>
      <c r="J36" s="29"/>
      <c r="K36" s="26">
        <f t="shared" si="4"/>
        <v>800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32.590000000000003</v>
      </c>
      <c r="I37" s="41"/>
      <c r="J37" s="42"/>
      <c r="K37" s="43"/>
      <c r="L37" s="40">
        <f>SUM(L21:L36)</f>
        <v>34.665191548721069</v>
      </c>
      <c r="M37" s="41"/>
      <c r="N37" s="44">
        <f t="shared" si="2"/>
        <v>2.0751915487210653</v>
      </c>
      <c r="O37" s="45">
        <f t="shared" si="3"/>
        <v>6.3675714903990946E-2</v>
      </c>
    </row>
    <row r="38" spans="2:15" ht="15" hidden="1" customHeight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800</v>
      </c>
      <c r="H39" s="27">
        <f t="shared" ref="H39:H45" si="6">G39*F39</f>
        <v>-1.1199999999999999</v>
      </c>
      <c r="I39" s="28"/>
      <c r="J39" s="29">
        <f>+'Res (100kWh)'!$J$39</f>
        <v>1.6265827088216363E-3</v>
      </c>
      <c r="K39" s="26">
        <f>$F$16</f>
        <v>800</v>
      </c>
      <c r="L39" s="27">
        <f t="shared" ref="L39:L45" si="7">K39*J39</f>
        <v>1.3012661670573089</v>
      </c>
      <c r="M39" s="28"/>
      <c r="N39" s="31">
        <f t="shared" si="2"/>
        <v>2.4212661670573086</v>
      </c>
      <c r="O39" s="32">
        <f t="shared" si="3"/>
        <v>-2.1618447920154544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800</v>
      </c>
      <c r="H40" s="27">
        <f t="shared" si="6"/>
        <v>0</v>
      </c>
      <c r="I40" s="47"/>
      <c r="J40" s="29"/>
      <c r="K40" s="26">
        <f>$F$16</f>
        <v>800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800</v>
      </c>
      <c r="H41" s="27">
        <f t="shared" si="6"/>
        <v>0</v>
      </c>
      <c r="I41" s="47"/>
      <c r="J41" s="29"/>
      <c r="K41" s="26">
        <f>$F$16</f>
        <v>800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800</v>
      </c>
      <c r="H42" s="27">
        <f t="shared" si="6"/>
        <v>0</v>
      </c>
      <c r="I42" s="47"/>
      <c r="J42" s="29"/>
      <c r="K42" s="26">
        <f>$F$16</f>
        <v>800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800</v>
      </c>
      <c r="H43" s="27">
        <f t="shared" si="6"/>
        <v>0.08</v>
      </c>
      <c r="I43" s="28"/>
      <c r="J43" s="29">
        <f>+'Res (100kWh)'!$J$43</f>
        <v>2.0000000000000001E-4</v>
      </c>
      <c r="K43" s="26">
        <f>$F$16</f>
        <v>800</v>
      </c>
      <c r="L43" s="27">
        <f t="shared" si="7"/>
        <v>0.16</v>
      </c>
      <c r="M43" s="28"/>
      <c r="N43" s="31">
        <f t="shared" si="2"/>
        <v>0.08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32.319999999999936</v>
      </c>
      <c r="H44" s="184">
        <f t="shared" si="6"/>
        <v>3.070399999999994</v>
      </c>
      <c r="I44" s="57"/>
      <c r="J44" s="185">
        <f>0.64*$F$54+0.18*$F$55+0.18*$F$56</f>
        <v>9.5000000000000001E-2</v>
      </c>
      <c r="K44" s="26">
        <f>$F$16*(1+$J$73)-$F$16</f>
        <v>28.960000000000036</v>
      </c>
      <c r="L44" s="184">
        <f t="shared" si="7"/>
        <v>2.7512000000000034</v>
      </c>
      <c r="M44" s="57"/>
      <c r="N44" s="186">
        <f t="shared" si="2"/>
        <v>-0.3191999999999906</v>
      </c>
      <c r="O44" s="187">
        <f t="shared" si="3"/>
        <v>-0.1039603960396011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35.410399999999996</v>
      </c>
      <c r="I46" s="41"/>
      <c r="J46" s="53"/>
      <c r="K46" s="53"/>
      <c r="L46" s="54">
        <f>SUM(L38:L45)+L37</f>
        <v>39.667657715778383</v>
      </c>
      <c r="M46" s="41"/>
      <c r="N46" s="44">
        <f t="shared" si="2"/>
        <v>4.2572577157783869</v>
      </c>
      <c r="O46" s="45">
        <f t="shared" ref="O46:O64" si="8">IF((H46)=0,"",(N46/H46))</f>
        <v>0.1202261967043125</v>
      </c>
    </row>
    <row r="47" spans="2:15" x14ac:dyDescent="0.3">
      <c r="B47" s="28" t="s">
        <v>28</v>
      </c>
      <c r="C47" s="28"/>
      <c r="D47" s="56" t="s">
        <v>61</v>
      </c>
      <c r="E47" s="57"/>
      <c r="F47" s="263">
        <f>+'Res (100kWh)'!$F$47</f>
        <v>7.6E-3</v>
      </c>
      <c r="G47" s="69">
        <f>F16*(1+F73)</f>
        <v>832.31999999999994</v>
      </c>
      <c r="H47" s="27">
        <f>G47*F47</f>
        <v>6.3256319999999997</v>
      </c>
      <c r="I47" s="28"/>
      <c r="J47" s="263">
        <f>+'Res (100kWh)'!$J$47</f>
        <v>7.4000000000000003E-3</v>
      </c>
      <c r="K47" s="70">
        <f>F16*(1+J73)</f>
        <v>828.96</v>
      </c>
      <c r="L47" s="27">
        <f>K47*J47</f>
        <v>6.1343040000000002</v>
      </c>
      <c r="M47" s="28"/>
      <c r="N47" s="31">
        <f t="shared" si="2"/>
        <v>-0.1913279999999995</v>
      </c>
      <c r="O47" s="32">
        <f t="shared" si="8"/>
        <v>-3.0246463910641577E-2</v>
      </c>
    </row>
    <row r="48" spans="2:15" x14ac:dyDescent="0.3">
      <c r="B48" s="59" t="s">
        <v>29</v>
      </c>
      <c r="C48" s="28"/>
      <c r="D48" s="56" t="s">
        <v>61</v>
      </c>
      <c r="E48" s="57"/>
      <c r="F48" s="263">
        <f>+'Res (100kWh)'!$F$48</f>
        <v>2.3E-3</v>
      </c>
      <c r="G48" s="69">
        <f>G47</f>
        <v>832.31999999999994</v>
      </c>
      <c r="H48" s="27">
        <f>G48*F48</f>
        <v>1.9143359999999998</v>
      </c>
      <c r="I48" s="28"/>
      <c r="J48" s="263">
        <f>+'Res (100kWh)'!$J$48</f>
        <v>2.3E-3</v>
      </c>
      <c r="K48" s="70">
        <f>K47</f>
        <v>828.96</v>
      </c>
      <c r="L48" s="27">
        <f>K48*J48</f>
        <v>1.9066080000000001</v>
      </c>
      <c r="M48" s="28"/>
      <c r="N48" s="31">
        <f t="shared" si="2"/>
        <v>-7.7279999999997351E-3</v>
      </c>
      <c r="O48" s="32">
        <f t="shared" si="8"/>
        <v>-4.0369088811994004E-3</v>
      </c>
    </row>
    <row r="49" spans="2:19" x14ac:dyDescent="0.3">
      <c r="B49" s="50" t="s">
        <v>30</v>
      </c>
      <c r="C49" s="36"/>
      <c r="D49" s="36"/>
      <c r="E49" s="36"/>
      <c r="F49" s="60"/>
      <c r="G49" s="293"/>
      <c r="H49" s="54">
        <f>SUM(H46:H48)</f>
        <v>43.650367999999993</v>
      </c>
      <c r="I49" s="61"/>
      <c r="J49" s="62"/>
      <c r="K49" s="294"/>
      <c r="L49" s="54">
        <f>SUM(L46:L48)</f>
        <v>47.708569715778381</v>
      </c>
      <c r="M49" s="61"/>
      <c r="N49" s="44">
        <f t="shared" si="2"/>
        <v>4.0582017157783881</v>
      </c>
      <c r="O49" s="45">
        <f t="shared" si="8"/>
        <v>9.297061861605356E-2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832.31999999999994</v>
      </c>
      <c r="H50" s="66">
        <f t="shared" ref="H50:H56" si="9">G50*F50</f>
        <v>3.6622080000000001</v>
      </c>
      <c r="I50" s="28"/>
      <c r="J50" s="263">
        <f>+'Res (100kWh)'!$J$50</f>
        <v>4.4000000000000003E-3</v>
      </c>
      <c r="K50" s="70">
        <f>K48</f>
        <v>828.96</v>
      </c>
      <c r="L50" s="66">
        <f t="shared" ref="L50:L56" si="10">K50*J50</f>
        <v>3.6474240000000004</v>
      </c>
      <c r="M50" s="28"/>
      <c r="N50" s="31">
        <f t="shared" si="2"/>
        <v>-1.4783999999999686E-2</v>
      </c>
      <c r="O50" s="68">
        <f t="shared" si="8"/>
        <v>-4.0369088811994525E-3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832.31999999999994</v>
      </c>
      <c r="H51" s="66">
        <f t="shared" si="9"/>
        <v>1.0820159999999999</v>
      </c>
      <c r="I51" s="28"/>
      <c r="J51" s="263">
        <f>+'Res (100kWh)'!$J$51</f>
        <v>1.2999999999999999E-3</v>
      </c>
      <c r="K51" s="70">
        <f>K48</f>
        <v>828.96</v>
      </c>
      <c r="L51" s="66">
        <f t="shared" si="10"/>
        <v>1.0776479999999999</v>
      </c>
      <c r="M51" s="28"/>
      <c r="N51" s="31">
        <f t="shared" si="2"/>
        <v>-4.3679999999999275E-3</v>
      </c>
      <c r="O51" s="68">
        <f t="shared" si="8"/>
        <v>-4.0369088811994724E-3</v>
      </c>
    </row>
    <row r="52" spans="2:19" x14ac:dyDescent="0.3">
      <c r="B52" s="24" t="s">
        <v>33</v>
      </c>
      <c r="C52" s="24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4"/>
      <c r="D53" s="23" t="s">
        <v>61</v>
      </c>
      <c r="E53" s="24"/>
      <c r="F53" s="65">
        <f>+'Res (100kWh)'!$F$53</f>
        <v>7.0000000000000001E-3</v>
      </c>
      <c r="G53" s="69">
        <f>F16</f>
        <v>800</v>
      </c>
      <c r="H53" s="66">
        <f t="shared" si="9"/>
        <v>5.6000000000000005</v>
      </c>
      <c r="I53" s="28"/>
      <c r="J53" s="263">
        <f>+'Res (100kWh)'!$J$53</f>
        <v>7.0000000000000001E-3</v>
      </c>
      <c r="K53" s="70">
        <f>F16</f>
        <v>800</v>
      </c>
      <c r="L53" s="66">
        <f t="shared" si="10"/>
        <v>5.6000000000000005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181" t="s">
        <v>35</v>
      </c>
      <c r="C54" s="24"/>
      <c r="D54" s="23" t="s">
        <v>61</v>
      </c>
      <c r="E54" s="24"/>
      <c r="F54" s="65">
        <f>+'Res (100kWh)'!$F$54</f>
        <v>7.6999999999999999E-2</v>
      </c>
      <c r="G54" s="69">
        <f>0.64*$F$16</f>
        <v>512</v>
      </c>
      <c r="H54" s="66">
        <f t="shared" si="9"/>
        <v>39.423999999999999</v>
      </c>
      <c r="I54" s="28"/>
      <c r="J54" s="263">
        <f>+'Res (100kWh)'!$J$54</f>
        <v>7.6999999999999999E-2</v>
      </c>
      <c r="K54" s="69">
        <f>G54</f>
        <v>512</v>
      </c>
      <c r="L54" s="66">
        <f t="shared" si="10"/>
        <v>39.423999999999999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181" t="s">
        <v>36</v>
      </c>
      <c r="C55" s="24"/>
      <c r="D55" s="23" t="s">
        <v>61</v>
      </c>
      <c r="E55" s="24"/>
      <c r="F55" s="65">
        <f>+'Res (100kWh)'!$F$55</f>
        <v>0.114</v>
      </c>
      <c r="G55" s="69">
        <f>0.18*$F$16</f>
        <v>144</v>
      </c>
      <c r="H55" s="66">
        <f t="shared" si="9"/>
        <v>16.416</v>
      </c>
      <c r="I55" s="28"/>
      <c r="J55" s="263">
        <f>+'Res (100kWh)'!$J$55</f>
        <v>0.114</v>
      </c>
      <c r="K55" s="69">
        <f>G55</f>
        <v>144</v>
      </c>
      <c r="L55" s="66">
        <f t="shared" si="10"/>
        <v>16.416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299" t="s">
        <v>37</v>
      </c>
      <c r="C56" s="24"/>
      <c r="D56" s="23" t="s">
        <v>61</v>
      </c>
      <c r="E56" s="24"/>
      <c r="F56" s="65">
        <f>+'Res (100kWh)'!$F$56</f>
        <v>0.14000000000000001</v>
      </c>
      <c r="G56" s="69">
        <f>0.18*$F$16</f>
        <v>144</v>
      </c>
      <c r="H56" s="66">
        <f t="shared" si="9"/>
        <v>20.160000000000004</v>
      </c>
      <c r="I56" s="28"/>
      <c r="J56" s="263">
        <f>+'Res (100kWh)'!$J$56</f>
        <v>0.14000000000000001</v>
      </c>
      <c r="K56" s="69">
        <f>G56</f>
        <v>144</v>
      </c>
      <c r="L56" s="66">
        <f t="shared" si="10"/>
        <v>20.160000000000004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291" t="s">
        <v>38</v>
      </c>
      <c r="C57" s="77"/>
      <c r="D57" s="23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291" t="s">
        <v>39</v>
      </c>
      <c r="C58" s="77"/>
      <c r="D58" s="23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200</v>
      </c>
      <c r="H58" s="66">
        <f>G58*F58</f>
        <v>20.599999999999998</v>
      </c>
      <c r="I58" s="79"/>
      <c r="J58" s="263">
        <f>+'Res (100kWh)'!$J$58</f>
        <v>0.10299999999999999</v>
      </c>
      <c r="K58" s="78">
        <f>G58</f>
        <v>200</v>
      </c>
      <c r="L58" s="66">
        <f>K58*J58</f>
        <v>20.599999999999998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300"/>
      <c r="C59" s="301"/>
      <c r="D59" s="302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4"/>
      <c r="D60" s="24"/>
      <c r="E60" s="22"/>
      <c r="F60" s="92"/>
      <c r="G60" s="93"/>
      <c r="H60" s="94">
        <f>SUM(H50:H56,H49)</f>
        <v>130.24459199999998</v>
      </c>
      <c r="I60" s="95"/>
      <c r="J60" s="96"/>
      <c r="K60" s="96"/>
      <c r="L60" s="190">
        <f>SUM(L50:L56,L49)</f>
        <v>134.2836417157784</v>
      </c>
      <c r="M60" s="97"/>
      <c r="N60" s="98">
        <f>L60-H60</f>
        <v>4.0390497157784182</v>
      </c>
      <c r="O60" s="99">
        <f>IF((H60)=0,"",(N60/H60))</f>
        <v>3.1011266216553687E-2</v>
      </c>
      <c r="S60" s="72"/>
    </row>
    <row r="61" spans="2:19" x14ac:dyDescent="0.3">
      <c r="B61" s="100" t="s">
        <v>41</v>
      </c>
      <c r="C61" s="24"/>
      <c r="D61" s="24"/>
      <c r="E61" s="22"/>
      <c r="F61" s="101">
        <v>0.13</v>
      </c>
      <c r="G61" s="102"/>
      <c r="H61" s="103">
        <f>H60*F61</f>
        <v>16.93179696</v>
      </c>
      <c r="I61" s="104"/>
      <c r="J61" s="105">
        <v>0.13</v>
      </c>
      <c r="K61" s="104"/>
      <c r="L61" s="106">
        <f>L60*J61</f>
        <v>17.456873423051192</v>
      </c>
      <c r="M61" s="107"/>
      <c r="N61" s="108">
        <f t="shared" si="2"/>
        <v>0.52507646305119238</v>
      </c>
      <c r="O61" s="109">
        <f t="shared" si="8"/>
        <v>3.1011266216553566E-2</v>
      </c>
      <c r="S61" s="72"/>
    </row>
    <row r="62" spans="2:19" x14ac:dyDescent="0.3">
      <c r="B62" s="303" t="s">
        <v>42</v>
      </c>
      <c r="C62" s="24"/>
      <c r="D62" s="24"/>
      <c r="E62" s="22"/>
      <c r="F62" s="111"/>
      <c r="G62" s="102"/>
      <c r="H62" s="103">
        <f>H60+H61</f>
        <v>147.17638896</v>
      </c>
      <c r="I62" s="104"/>
      <c r="J62" s="104"/>
      <c r="K62" s="104"/>
      <c r="L62" s="106">
        <f>L60+L61</f>
        <v>151.74051513882961</v>
      </c>
      <c r="M62" s="107"/>
      <c r="N62" s="108">
        <f t="shared" si="2"/>
        <v>4.5641261788296106</v>
      </c>
      <c r="O62" s="109">
        <f t="shared" si="8"/>
        <v>3.101126621655367E-2</v>
      </c>
      <c r="S62" s="72"/>
    </row>
    <row r="63" spans="2:19" ht="15.75" customHeight="1" x14ac:dyDescent="0.3">
      <c r="B63" s="363" t="s">
        <v>43</v>
      </c>
      <c r="C63" s="363"/>
      <c r="D63" s="363"/>
      <c r="E63" s="22"/>
      <c r="F63" s="111"/>
      <c r="G63" s="102"/>
      <c r="H63" s="112">
        <f>ROUND(-H62*10%,2)</f>
        <v>-14.72</v>
      </c>
      <c r="I63" s="104"/>
      <c r="J63" s="104"/>
      <c r="K63" s="104"/>
      <c r="L63" s="113">
        <f>ROUND(-L62*10%,2)</f>
        <v>-15.17</v>
      </c>
      <c r="M63" s="107"/>
      <c r="N63" s="114">
        <f t="shared" si="2"/>
        <v>-0.44999999999999929</v>
      </c>
      <c r="O63" s="115">
        <f t="shared" si="8"/>
        <v>3.0570652173912995E-2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132.45638896</v>
      </c>
      <c r="I64" s="120"/>
      <c r="J64" s="120"/>
      <c r="K64" s="120"/>
      <c r="L64" s="121">
        <f>L62+L63</f>
        <v>136.57051513882962</v>
      </c>
      <c r="M64" s="122"/>
      <c r="N64" s="123">
        <f t="shared" si="2"/>
        <v>4.1141261788296219</v>
      </c>
      <c r="O64" s="124">
        <f t="shared" si="8"/>
        <v>3.1060232059263154E-2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127.64459199999999</v>
      </c>
      <c r="I66" s="136"/>
      <c r="J66" s="137"/>
      <c r="K66" s="137"/>
      <c r="L66" s="189">
        <f>SUM(L57:L58,L49,L50:L53)</f>
        <v>131.68364171577838</v>
      </c>
      <c r="M66" s="138"/>
      <c r="N66" s="139">
        <f>L66-H66</f>
        <v>4.0390497157783898</v>
      </c>
      <c r="O66" s="99">
        <f>IF((H66)=0,"",(N66/H66))</f>
        <v>3.1642936473003022E-2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16.593796959999999</v>
      </c>
      <c r="I67" s="143"/>
      <c r="J67" s="144">
        <v>0.13</v>
      </c>
      <c r="K67" s="145"/>
      <c r="L67" s="146">
        <f>L66*J67</f>
        <v>17.118873423051191</v>
      </c>
      <c r="M67" s="147"/>
      <c r="N67" s="148">
        <f>L67-H67</f>
        <v>0.52507646305119238</v>
      </c>
      <c r="O67" s="109">
        <f>IF((H67)=0,"",(N67/H67))</f>
        <v>3.1642936473003126E-2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144.23838895999998</v>
      </c>
      <c r="I68" s="143"/>
      <c r="J68" s="143"/>
      <c r="K68" s="143"/>
      <c r="L68" s="146">
        <f>L66+L67</f>
        <v>148.80251513882956</v>
      </c>
      <c r="M68" s="147"/>
      <c r="N68" s="148">
        <f>L68-H68</f>
        <v>4.5641261788295822</v>
      </c>
      <c r="O68" s="109">
        <f>IF((H68)=0,"",(N68/H68))</f>
        <v>3.1642936473003036E-2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-14.42</v>
      </c>
      <c r="I69" s="143"/>
      <c r="J69" s="143"/>
      <c r="K69" s="143"/>
      <c r="L69" s="153">
        <f>ROUND(-L68*10%,2)</f>
        <v>-14.88</v>
      </c>
      <c r="M69" s="147"/>
      <c r="N69" s="154">
        <f>L69-H69</f>
        <v>-0.46000000000000085</v>
      </c>
      <c r="O69" s="115">
        <f>IF((H69)=0,"",(N69/H69))</f>
        <v>3.1900138696255263E-2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129.81838895999999</v>
      </c>
      <c r="I70" s="159"/>
      <c r="J70" s="159"/>
      <c r="K70" s="159"/>
      <c r="L70" s="160">
        <f>SUM(L68:L69)</f>
        <v>133.92251513882957</v>
      </c>
      <c r="M70" s="161"/>
      <c r="N70" s="162">
        <f>L70-H70</f>
        <v>4.1041261788295742</v>
      </c>
      <c r="O70" s="163">
        <f>IF((H70)=0,"",(N70/H70))</f>
        <v>3.1614366899085068E-2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F18:H18"/>
    <mergeCell ref="J18:L18"/>
    <mergeCell ref="N18:O18"/>
    <mergeCell ref="N3:O3"/>
    <mergeCell ref="D12:O12"/>
    <mergeCell ref="B70:D70"/>
    <mergeCell ref="D19:D20"/>
    <mergeCell ref="N19:N20"/>
    <mergeCell ref="O19:O20"/>
    <mergeCell ref="B63:D63"/>
    <mergeCell ref="B64:D64"/>
    <mergeCell ref="B69:D69"/>
    <mergeCell ref="N1:O1"/>
    <mergeCell ref="N2:O2"/>
    <mergeCell ref="N5:O5"/>
    <mergeCell ref="B8:O8"/>
    <mergeCell ref="B9:O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7.441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59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1000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1000</v>
      </c>
      <c r="H25" s="27">
        <f t="shared" si="0"/>
        <v>-0.1</v>
      </c>
      <c r="I25" s="28"/>
      <c r="J25" s="173">
        <f>+'Res (100kWh)'!$J$25</f>
        <v>0</v>
      </c>
      <c r="K25" s="26">
        <f>$F$16</f>
        <v>1000</v>
      </c>
      <c r="L25" s="27">
        <f t="shared" si="1"/>
        <v>0</v>
      </c>
      <c r="M25" s="28"/>
      <c r="N25" s="31">
        <f t="shared" si="2"/>
        <v>0.1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1000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1000</v>
      </c>
      <c r="L26" s="27">
        <f t="shared" si="1"/>
        <v>-0.6</v>
      </c>
      <c r="M26" s="28"/>
      <c r="N26" s="31">
        <f t="shared" si="2"/>
        <v>-0.6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1000</v>
      </c>
      <c r="H27" s="27">
        <f t="shared" si="0"/>
        <v>19.2</v>
      </c>
      <c r="I27" s="28"/>
      <c r="J27" s="29">
        <f>+'Res (100kWh)'!$J$27</f>
        <v>2.1700000000000001E-2</v>
      </c>
      <c r="K27" s="26">
        <f>$F$16</f>
        <v>1000</v>
      </c>
      <c r="L27" s="27">
        <f t="shared" si="1"/>
        <v>21.7</v>
      </c>
      <c r="M27" s="28"/>
      <c r="N27" s="31">
        <f t="shared" si="2"/>
        <v>2.5</v>
      </c>
      <c r="O27" s="32">
        <f t="shared" si="3"/>
        <v>0.13020833333333334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si="4"/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36.409999999999997</v>
      </c>
      <c r="I37" s="41"/>
      <c r="J37" s="42"/>
      <c r="K37" s="43"/>
      <c r="L37" s="40">
        <f>SUM(L21:L36)</f>
        <v>38.885191548721068</v>
      </c>
      <c r="M37" s="41"/>
      <c r="N37" s="44">
        <f t="shared" si="2"/>
        <v>2.4751915487210709</v>
      </c>
      <c r="O37" s="45">
        <f t="shared" si="3"/>
        <v>6.7981091697914622E-2</v>
      </c>
    </row>
    <row r="38" spans="2:15" ht="15" hidden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1000</v>
      </c>
      <c r="H39" s="27">
        <f t="shared" ref="H39:H45" si="6">G39*F39</f>
        <v>-1.4</v>
      </c>
      <c r="I39" s="28"/>
      <c r="J39" s="29">
        <f>+'Res (100kWh)'!$J$39</f>
        <v>1.6265827088216363E-3</v>
      </c>
      <c r="K39" s="26">
        <f>$F$16</f>
        <v>1000</v>
      </c>
      <c r="L39" s="27">
        <f t="shared" ref="L39:L45" si="7">K39*J39</f>
        <v>1.6265827088216362</v>
      </c>
      <c r="M39" s="28"/>
      <c r="N39" s="31">
        <f t="shared" si="2"/>
        <v>3.0265827088216364</v>
      </c>
      <c r="O39" s="32">
        <f t="shared" si="3"/>
        <v>-2.1618447920154549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1000</v>
      </c>
      <c r="H43" s="27">
        <f t="shared" si="6"/>
        <v>0.1</v>
      </c>
      <c r="I43" s="28"/>
      <c r="J43" s="29">
        <f>+'Res (100kWh)'!$J$43</f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2"/>
        <v>0.1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2"/>
        <v>-0.39900000000000402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293"/>
      <c r="H46" s="54">
        <f>SUM(H38:H45)+H37</f>
        <v>39.738000000000007</v>
      </c>
      <c r="I46" s="41"/>
      <c r="J46" s="53"/>
      <c r="K46" s="55"/>
      <c r="L46" s="54">
        <f>SUM(L38:L45)+L37</f>
        <v>44.940774257542706</v>
      </c>
      <c r="M46" s="41"/>
      <c r="N46" s="44">
        <f>L46-H46</f>
        <v>5.2027742575426998</v>
      </c>
      <c r="O46" s="45">
        <f>IF((H46)=0,"",(N46/H46))</f>
        <v>0.13092692781576071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1040.4000000000001</v>
      </c>
      <c r="H47" s="27">
        <f>G47*F47</f>
        <v>7.9070400000000003</v>
      </c>
      <c r="I47" s="28"/>
      <c r="J47" s="263">
        <f>+'Res (100kWh)'!$J$47</f>
        <v>7.4000000000000003E-3</v>
      </c>
      <c r="K47" s="70">
        <f>F16*(1+J73)</f>
        <v>1036.2</v>
      </c>
      <c r="L47" s="27">
        <f>K47*J47</f>
        <v>7.6678800000000003</v>
      </c>
      <c r="M47" s="28"/>
      <c r="N47" s="31">
        <f t="shared" si="2"/>
        <v>-0.23916000000000004</v>
      </c>
      <c r="O47" s="32">
        <f t="shared" ref="O47:O64" si="8">IF((H47)=0,"",(N47/H47))</f>
        <v>-3.0246463910641661E-2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1040.4000000000001</v>
      </c>
      <c r="H48" s="27">
        <f>G48*F48</f>
        <v>2.3929200000000002</v>
      </c>
      <c r="I48" s="28"/>
      <c r="J48" s="263">
        <f>+'Res (100kWh)'!$J$48</f>
        <v>2.3E-3</v>
      </c>
      <c r="K48" s="70">
        <f>K47</f>
        <v>1036.2</v>
      </c>
      <c r="L48" s="27">
        <f>K48*J48</f>
        <v>2.3832599999999999</v>
      </c>
      <c r="M48" s="28"/>
      <c r="N48" s="31">
        <f t="shared" si="2"/>
        <v>-9.660000000000224E-3</v>
      </c>
      <c r="O48" s="32">
        <f t="shared" si="8"/>
        <v>-4.036908881199632E-3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50.037960000000012</v>
      </c>
      <c r="I49" s="61"/>
      <c r="J49" s="62"/>
      <c r="K49" s="62"/>
      <c r="L49" s="54">
        <f>SUM(L46:L48)</f>
        <v>54.99191425754271</v>
      </c>
      <c r="M49" s="61"/>
      <c r="N49" s="44">
        <f t="shared" si="2"/>
        <v>4.9539542575426978</v>
      </c>
      <c r="O49" s="45">
        <f t="shared" si="8"/>
        <v>9.9003921373746986E-2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1040.4000000000001</v>
      </c>
      <c r="H50" s="66">
        <f t="shared" ref="H50:H56" si="9">G50*F50</f>
        <v>4.5777600000000005</v>
      </c>
      <c r="I50" s="28"/>
      <c r="J50" s="263">
        <f>+'Res (100kWh)'!$J$50</f>
        <v>4.4000000000000003E-3</v>
      </c>
      <c r="K50" s="70">
        <f>K48</f>
        <v>1036.2</v>
      </c>
      <c r="L50" s="66">
        <f t="shared" ref="L50:L56" si="10">K50*J50</f>
        <v>4.5592800000000002</v>
      </c>
      <c r="M50" s="28"/>
      <c r="N50" s="31">
        <f t="shared" si="2"/>
        <v>-1.8480000000000274E-2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1040.4000000000001</v>
      </c>
      <c r="H51" s="66">
        <f t="shared" si="9"/>
        <v>1.3525200000000002</v>
      </c>
      <c r="I51" s="28"/>
      <c r="J51" s="263">
        <f>+'Res (100kWh)'!$J$51</f>
        <v>1.2999999999999999E-3</v>
      </c>
      <c r="K51" s="70">
        <f>K48</f>
        <v>1036.2</v>
      </c>
      <c r="L51" s="66">
        <f t="shared" si="10"/>
        <v>1.3470599999999999</v>
      </c>
      <c r="M51" s="28"/>
      <c r="N51" s="31">
        <f t="shared" si="2"/>
        <v>-5.4600000000002424E-3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1000</v>
      </c>
      <c r="H53" s="66">
        <f t="shared" si="9"/>
        <v>7</v>
      </c>
      <c r="I53" s="28"/>
      <c r="J53" s="263">
        <f>+'Res (100kWh)'!$J$53</f>
        <v>7.0000000000000001E-3</v>
      </c>
      <c r="K53" s="70">
        <f>F16</f>
        <v>1000</v>
      </c>
      <c r="L53" s="66">
        <f t="shared" si="10"/>
        <v>7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640</v>
      </c>
      <c r="H54" s="66">
        <f t="shared" si="9"/>
        <v>49.28</v>
      </c>
      <c r="I54" s="28"/>
      <c r="J54" s="263">
        <f>+'Res (100kWh)'!$J$54</f>
        <v>7.6999999999999999E-2</v>
      </c>
      <c r="K54" s="69">
        <f>G54</f>
        <v>640</v>
      </c>
      <c r="L54" s="66">
        <f t="shared" si="10"/>
        <v>49.28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180</v>
      </c>
      <c r="H55" s="66">
        <f t="shared" si="9"/>
        <v>20.52</v>
      </c>
      <c r="I55" s="28"/>
      <c r="J55" s="263">
        <f>+'Res (100kWh)'!$J$55</f>
        <v>0.114</v>
      </c>
      <c r="K55" s="69">
        <f>G55</f>
        <v>180</v>
      </c>
      <c r="L55" s="66">
        <f t="shared" si="10"/>
        <v>20.52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180</v>
      </c>
      <c r="H56" s="66">
        <f t="shared" si="9"/>
        <v>25.200000000000003</v>
      </c>
      <c r="I56" s="28"/>
      <c r="J56" s="263">
        <f>+'Res (100kWh)'!$J$56</f>
        <v>0.14000000000000001</v>
      </c>
      <c r="K56" s="69">
        <f>G56</f>
        <v>180</v>
      </c>
      <c r="L56" s="66">
        <f t="shared" si="10"/>
        <v>25.200000000000003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>+'Res (100kWh)'!$J$58</f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158.21824000000001</v>
      </c>
      <c r="I60" s="95"/>
      <c r="J60" s="96"/>
      <c r="K60" s="96"/>
      <c r="L60" s="190">
        <f>SUM(L50:L56,L49)</f>
        <v>163.1482542575427</v>
      </c>
      <c r="M60" s="97"/>
      <c r="N60" s="98">
        <f>L60-H60</f>
        <v>4.9300142575426946</v>
      </c>
      <c r="O60" s="99">
        <f>IF((H60)=0,"",(N60/H60))</f>
        <v>3.1159582217212722E-2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20.568371200000001</v>
      </c>
      <c r="I61" s="104"/>
      <c r="J61" s="105">
        <v>0.13</v>
      </c>
      <c r="K61" s="104"/>
      <c r="L61" s="106">
        <f>L60*J61</f>
        <v>21.209273053480551</v>
      </c>
      <c r="M61" s="107"/>
      <c r="N61" s="108">
        <f t="shared" si="2"/>
        <v>0.64090185348054973</v>
      </c>
      <c r="O61" s="109">
        <f t="shared" si="8"/>
        <v>3.1159582217212694E-2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178.78661120000001</v>
      </c>
      <c r="I62" s="104"/>
      <c r="J62" s="104"/>
      <c r="K62" s="104"/>
      <c r="L62" s="106">
        <f>L60+L61</f>
        <v>184.35752731102326</v>
      </c>
      <c r="M62" s="107"/>
      <c r="N62" s="108">
        <f t="shared" si="2"/>
        <v>5.5709161110232515</v>
      </c>
      <c r="O62" s="109">
        <f t="shared" si="8"/>
        <v>3.1159582217212756E-2</v>
      </c>
      <c r="S62" s="72"/>
    </row>
    <row r="63" spans="2:19" ht="15.75" customHeight="1" x14ac:dyDescent="0.3">
      <c r="B63" s="363" t="s">
        <v>43</v>
      </c>
      <c r="C63" s="363"/>
      <c r="D63" s="363"/>
      <c r="E63" s="22"/>
      <c r="F63" s="111"/>
      <c r="G63" s="102"/>
      <c r="H63" s="112">
        <f>ROUND(-H62*10%,2)</f>
        <v>-17.88</v>
      </c>
      <c r="I63" s="104"/>
      <c r="J63" s="104"/>
      <c r="K63" s="104"/>
      <c r="L63" s="113">
        <f>ROUND(-L62*10%,2)</f>
        <v>-18.440000000000001</v>
      </c>
      <c r="M63" s="107"/>
      <c r="N63" s="114">
        <f t="shared" si="2"/>
        <v>-0.56000000000000227</v>
      </c>
      <c r="O63" s="115">
        <f t="shared" si="8"/>
        <v>3.1319910514541513E-2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160.90661120000001</v>
      </c>
      <c r="I64" s="120"/>
      <c r="J64" s="120"/>
      <c r="K64" s="120"/>
      <c r="L64" s="121">
        <f>L62+L63</f>
        <v>165.91752731102326</v>
      </c>
      <c r="M64" s="122"/>
      <c r="N64" s="123">
        <f t="shared" si="2"/>
        <v>5.0109161110232492</v>
      </c>
      <c r="O64" s="124">
        <f t="shared" si="8"/>
        <v>3.1141766479656299E-2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157.21824000000001</v>
      </c>
      <c r="I66" s="136"/>
      <c r="J66" s="137"/>
      <c r="K66" s="137"/>
      <c r="L66" s="189">
        <f>SUM(L57:L58,L49,L50:L53)</f>
        <v>162.1482542575427</v>
      </c>
      <c r="M66" s="138"/>
      <c r="N66" s="139">
        <f>L66-H66</f>
        <v>4.9300142575426946</v>
      </c>
      <c r="O66" s="99">
        <f>IF((H66)=0,"",(N66/H66))</f>
        <v>3.1357775392617894E-2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20.438371200000002</v>
      </c>
      <c r="I67" s="143"/>
      <c r="J67" s="144">
        <v>0.13</v>
      </c>
      <c r="K67" s="145"/>
      <c r="L67" s="146">
        <f>L66*J67</f>
        <v>21.079273053480552</v>
      </c>
      <c r="M67" s="147"/>
      <c r="N67" s="148">
        <f>L67-H67</f>
        <v>0.64090185348054973</v>
      </c>
      <c r="O67" s="109">
        <f>IF((H67)=0,"",(N67/H67))</f>
        <v>3.1357775392617866E-2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177.65661120000001</v>
      </c>
      <c r="I68" s="143"/>
      <c r="J68" s="143"/>
      <c r="K68" s="143"/>
      <c r="L68" s="146">
        <f>L66+L67</f>
        <v>183.22752731102327</v>
      </c>
      <c r="M68" s="147"/>
      <c r="N68" s="148">
        <f>L68-H68</f>
        <v>5.5709161110232515</v>
      </c>
      <c r="O68" s="109">
        <f>IF((H68)=0,"",(N68/H68))</f>
        <v>3.1357775392617929E-2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-17.77</v>
      </c>
      <c r="I69" s="143"/>
      <c r="J69" s="143"/>
      <c r="K69" s="143"/>
      <c r="L69" s="153">
        <f>ROUND(-L68*10%,2)</f>
        <v>-18.32</v>
      </c>
      <c r="M69" s="147"/>
      <c r="N69" s="154">
        <f>L69-H69</f>
        <v>-0.55000000000000071</v>
      </c>
      <c r="O69" s="115">
        <f>IF((H69)=0,"",(N69/H69))</f>
        <v>3.0951041080472749E-2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159.8866112</v>
      </c>
      <c r="I70" s="159"/>
      <c r="J70" s="159"/>
      <c r="K70" s="159"/>
      <c r="L70" s="160">
        <f>SUM(L68:L69)</f>
        <v>164.90752731102327</v>
      </c>
      <c r="M70" s="161"/>
      <c r="N70" s="162">
        <f>L70-H70</f>
        <v>5.0209161110232685</v>
      </c>
      <c r="O70" s="163">
        <f>IF((H70)=0,"",(N70/H70))</f>
        <v>3.1402980358015545E-2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D12:O12"/>
    <mergeCell ref="N1:O1"/>
    <mergeCell ref="N2:O2"/>
    <mergeCell ref="N5:O5"/>
    <mergeCell ref="B8:O8"/>
    <mergeCell ref="B9:O9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3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7.5546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59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1500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1500</v>
      </c>
      <c r="H25" s="27">
        <f t="shared" si="0"/>
        <v>-0.15</v>
      </c>
      <c r="I25" s="28"/>
      <c r="J25" s="173">
        <f>+'Res (100kWh)'!$J$25</f>
        <v>0</v>
      </c>
      <c r="K25" s="26">
        <f>$F$16</f>
        <v>1500</v>
      </c>
      <c r="L25" s="27">
        <f t="shared" si="1"/>
        <v>0</v>
      </c>
      <c r="M25" s="28"/>
      <c r="N25" s="31">
        <f t="shared" si="2"/>
        <v>0.15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1500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1500</v>
      </c>
      <c r="L26" s="27">
        <f t="shared" si="1"/>
        <v>-0.89999999999999991</v>
      </c>
      <c r="M26" s="28"/>
      <c r="N26" s="31">
        <f t="shared" si="2"/>
        <v>-0.89999999999999991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1500</v>
      </c>
      <c r="H27" s="27">
        <f t="shared" si="0"/>
        <v>28.799999999999997</v>
      </c>
      <c r="I27" s="28"/>
      <c r="J27" s="29">
        <f>+'Res (100kWh)'!$J$27</f>
        <v>2.1700000000000001E-2</v>
      </c>
      <c r="K27" s="26">
        <f>$F$16</f>
        <v>1500</v>
      </c>
      <c r="L27" s="27">
        <f t="shared" si="1"/>
        <v>32.550000000000004</v>
      </c>
      <c r="M27" s="28"/>
      <c r="N27" s="31">
        <f t="shared" si="2"/>
        <v>3.7500000000000071</v>
      </c>
      <c r="O27" s="32">
        <f t="shared" si="3"/>
        <v>0.13020833333333359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1500</v>
      </c>
      <c r="H28" s="27">
        <f t="shared" si="0"/>
        <v>0</v>
      </c>
      <c r="I28" s="28"/>
      <c r="J28" s="29"/>
      <c r="K28" s="26">
        <f t="shared" ref="K28:K36" si="4">$F$16</f>
        <v>1500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1500</v>
      </c>
      <c r="H29" s="27">
        <f t="shared" si="0"/>
        <v>0</v>
      </c>
      <c r="I29" s="28"/>
      <c r="J29" s="29"/>
      <c r="K29" s="26">
        <f t="shared" si="4"/>
        <v>1500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1500</v>
      </c>
      <c r="H30" s="27">
        <f t="shared" si="0"/>
        <v>0</v>
      </c>
      <c r="I30" s="28"/>
      <c r="J30" s="29"/>
      <c r="K30" s="26">
        <f t="shared" si="4"/>
        <v>1500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1500</v>
      </c>
      <c r="H31" s="27">
        <f t="shared" si="0"/>
        <v>0</v>
      </c>
      <c r="I31" s="28"/>
      <c r="J31" s="29"/>
      <c r="K31" s="26">
        <f t="shared" si="4"/>
        <v>1500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1500</v>
      </c>
      <c r="H32" s="27">
        <f t="shared" si="0"/>
        <v>0</v>
      </c>
      <c r="I32" s="28"/>
      <c r="J32" s="29"/>
      <c r="K32" s="26">
        <f t="shared" si="4"/>
        <v>1500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1500</v>
      </c>
      <c r="H33" s="27">
        <f t="shared" si="0"/>
        <v>0</v>
      </c>
      <c r="I33" s="28"/>
      <c r="J33" s="29"/>
      <c r="K33" s="26">
        <f t="shared" si="4"/>
        <v>1500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1500</v>
      </c>
      <c r="H34" s="27">
        <f t="shared" si="0"/>
        <v>0</v>
      </c>
      <c r="I34" s="28"/>
      <c r="J34" s="29"/>
      <c r="K34" s="26">
        <f t="shared" si="4"/>
        <v>1500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1500</v>
      </c>
      <c r="H35" s="27">
        <f t="shared" si="0"/>
        <v>0</v>
      </c>
      <c r="I35" s="28"/>
      <c r="J35" s="29"/>
      <c r="K35" s="26">
        <f t="shared" si="4"/>
        <v>1500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1500</v>
      </c>
      <c r="H36" s="27">
        <f t="shared" si="0"/>
        <v>0</v>
      </c>
      <c r="I36" s="28"/>
      <c r="J36" s="29"/>
      <c r="K36" s="26">
        <f t="shared" si="4"/>
        <v>1500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45.959999999999994</v>
      </c>
      <c r="I37" s="41"/>
      <c r="J37" s="42"/>
      <c r="K37" s="43"/>
      <c r="L37" s="40">
        <f>SUM(L21:L36)</f>
        <v>49.435191548721079</v>
      </c>
      <c r="M37" s="41"/>
      <c r="N37" s="44">
        <f t="shared" si="2"/>
        <v>3.4751915487210852</v>
      </c>
      <c r="O37" s="45">
        <f t="shared" si="3"/>
        <v>7.5613393140145466E-2</v>
      </c>
    </row>
    <row r="38" spans="2:15" ht="15" hidden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1500</v>
      </c>
      <c r="H39" s="27">
        <f t="shared" ref="H39:H45" si="6">G39*F39</f>
        <v>-2.1</v>
      </c>
      <c r="I39" s="28"/>
      <c r="J39" s="29">
        <f>+'Res (100kWh)'!$J$39</f>
        <v>1.6265827088216363E-3</v>
      </c>
      <c r="K39" s="26">
        <f>$F$16</f>
        <v>1500</v>
      </c>
      <c r="L39" s="27">
        <f t="shared" ref="L39:L45" si="7">K39*J39</f>
        <v>2.4398740632324545</v>
      </c>
      <c r="M39" s="28"/>
      <c r="N39" s="31">
        <f t="shared" si="2"/>
        <v>4.539874063232455</v>
      </c>
      <c r="O39" s="32">
        <f t="shared" si="3"/>
        <v>-2.1618447920154549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1500</v>
      </c>
      <c r="H40" s="27">
        <f t="shared" si="6"/>
        <v>0</v>
      </c>
      <c r="I40" s="47"/>
      <c r="J40" s="29"/>
      <c r="K40" s="26">
        <f>$F$16</f>
        <v>1500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1500</v>
      </c>
      <c r="H41" s="27">
        <f t="shared" si="6"/>
        <v>0</v>
      </c>
      <c r="I41" s="47"/>
      <c r="J41" s="29"/>
      <c r="K41" s="26">
        <f>$F$16</f>
        <v>1500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1500</v>
      </c>
      <c r="H42" s="27">
        <f t="shared" si="6"/>
        <v>0</v>
      </c>
      <c r="I42" s="47"/>
      <c r="J42" s="29"/>
      <c r="K42" s="26">
        <f>$F$16</f>
        <v>1500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1500</v>
      </c>
      <c r="H43" s="27">
        <f t="shared" si="6"/>
        <v>0.15</v>
      </c>
      <c r="I43" s="28"/>
      <c r="J43" s="29">
        <f>+'Res (100kWh)'!$J$43</f>
        <v>2.0000000000000001E-4</v>
      </c>
      <c r="K43" s="26">
        <f>$F$16</f>
        <v>1500</v>
      </c>
      <c r="L43" s="27">
        <f t="shared" si="7"/>
        <v>0.3</v>
      </c>
      <c r="M43" s="28"/>
      <c r="N43" s="31">
        <f t="shared" si="2"/>
        <v>0.15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60.599999999999909</v>
      </c>
      <c r="H44" s="184">
        <f t="shared" si="6"/>
        <v>5.7569999999999917</v>
      </c>
      <c r="I44" s="57"/>
      <c r="J44" s="185">
        <f>0.64*$F$54+0.18*$F$55+0.18*$F$56</f>
        <v>9.5000000000000001E-2</v>
      </c>
      <c r="K44" s="26">
        <f>$F$16*(1+$J$73)-$F$16</f>
        <v>54.299999999999955</v>
      </c>
      <c r="L44" s="184">
        <f t="shared" si="7"/>
        <v>5.1584999999999956</v>
      </c>
      <c r="M44" s="57"/>
      <c r="N44" s="186">
        <f t="shared" si="2"/>
        <v>-0.59849999999999604</v>
      </c>
      <c r="O44" s="187">
        <f t="shared" si="3"/>
        <v>-0.10396039603960343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50.556999999999988</v>
      </c>
      <c r="I46" s="41"/>
      <c r="J46" s="53"/>
      <c r="K46" s="55"/>
      <c r="L46" s="54">
        <f>SUM(L38:L45)+L37</f>
        <v>58.123565611953531</v>
      </c>
      <c r="M46" s="41"/>
      <c r="N46" s="44">
        <f t="shared" si="2"/>
        <v>7.5665656119535427</v>
      </c>
      <c r="O46" s="45">
        <f t="shared" ref="O46:O64" si="8">IF((H46)=0,"",(N46/H46))</f>
        <v>0.14966405467004656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1560.6</v>
      </c>
      <c r="H47" s="27">
        <f>G47*F47</f>
        <v>11.86056</v>
      </c>
      <c r="I47" s="28"/>
      <c r="J47" s="263">
        <f>+'Res (100kWh)'!$J$47</f>
        <v>7.4000000000000003E-3</v>
      </c>
      <c r="K47" s="70">
        <f>F16*(1+J73)</f>
        <v>1554.3</v>
      </c>
      <c r="L47" s="27">
        <f>K47*J47</f>
        <v>11.50182</v>
      </c>
      <c r="M47" s="28"/>
      <c r="N47" s="31">
        <f t="shared" si="2"/>
        <v>-0.35873999999999917</v>
      </c>
      <c r="O47" s="32">
        <f t="shared" si="8"/>
        <v>-3.0246463910641588E-2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1560.6</v>
      </c>
      <c r="H48" s="27">
        <f>G48*F48</f>
        <v>3.5893799999999998</v>
      </c>
      <c r="I48" s="28"/>
      <c r="J48" s="263">
        <f>+'Res (100kWh)'!$J$48</f>
        <v>2.3E-3</v>
      </c>
      <c r="K48" s="70">
        <f>K47</f>
        <v>1554.3</v>
      </c>
      <c r="L48" s="27">
        <f>K48*J48</f>
        <v>3.5748899999999999</v>
      </c>
      <c r="M48" s="28"/>
      <c r="N48" s="31">
        <f t="shared" si="2"/>
        <v>-1.4489999999999892E-2</v>
      </c>
      <c r="O48" s="32">
        <f t="shared" si="8"/>
        <v>-4.0369088811995088E-3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66.006939999999986</v>
      </c>
      <c r="I49" s="61"/>
      <c r="J49" s="62"/>
      <c r="K49" s="63"/>
      <c r="L49" s="54">
        <f>SUM(L46:L48)</f>
        <v>73.200275611953529</v>
      </c>
      <c r="M49" s="61"/>
      <c r="N49" s="44">
        <f t="shared" si="2"/>
        <v>7.1933356119535432</v>
      </c>
      <c r="O49" s="45">
        <f t="shared" si="8"/>
        <v>0.10897847426276001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1560.6</v>
      </c>
      <c r="H50" s="66">
        <f t="shared" ref="H50:H56" si="9">G50*F50</f>
        <v>6.8666400000000003</v>
      </c>
      <c r="I50" s="28"/>
      <c r="J50" s="263">
        <f>+'Res (100kWh)'!$J$50</f>
        <v>4.4000000000000003E-3</v>
      </c>
      <c r="K50" s="70">
        <f>K48</f>
        <v>1554.3</v>
      </c>
      <c r="L50" s="66">
        <f t="shared" ref="L50:L56" si="10">K50*J50</f>
        <v>6.8389199999999999</v>
      </c>
      <c r="M50" s="28"/>
      <c r="N50" s="31">
        <f t="shared" si="2"/>
        <v>-2.7720000000000411E-2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1560.6</v>
      </c>
      <c r="H51" s="66">
        <f t="shared" si="9"/>
        <v>2.0287799999999998</v>
      </c>
      <c r="I51" s="28"/>
      <c r="J51" s="263">
        <f>+'Res (100kWh)'!$J$51</f>
        <v>1.2999999999999999E-3</v>
      </c>
      <c r="K51" s="70">
        <f>K48</f>
        <v>1554.3</v>
      </c>
      <c r="L51" s="66">
        <f t="shared" si="10"/>
        <v>2.0205899999999999</v>
      </c>
      <c r="M51" s="28"/>
      <c r="N51" s="31">
        <f t="shared" si="2"/>
        <v>-8.1899999999999196E-3</v>
      </c>
      <c r="O51" s="68">
        <f t="shared" si="8"/>
        <v>-4.0369088811994993E-3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1500</v>
      </c>
      <c r="H53" s="66">
        <f t="shared" si="9"/>
        <v>10.5</v>
      </c>
      <c r="I53" s="28"/>
      <c r="J53" s="263">
        <f>+'Res (100kWh)'!$J$53</f>
        <v>7.0000000000000001E-3</v>
      </c>
      <c r="K53" s="70">
        <f>F16</f>
        <v>1500</v>
      </c>
      <c r="L53" s="66">
        <f t="shared" si="10"/>
        <v>10.5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960</v>
      </c>
      <c r="H54" s="66">
        <f t="shared" si="9"/>
        <v>73.92</v>
      </c>
      <c r="I54" s="28"/>
      <c r="J54" s="263">
        <f>+'Res (100kWh)'!$J$54</f>
        <v>7.6999999999999999E-2</v>
      </c>
      <c r="K54" s="69">
        <f>G54</f>
        <v>960</v>
      </c>
      <c r="L54" s="66">
        <f t="shared" si="10"/>
        <v>73.92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270</v>
      </c>
      <c r="H55" s="66">
        <f t="shared" si="9"/>
        <v>30.78</v>
      </c>
      <c r="I55" s="28"/>
      <c r="J55" s="263">
        <f>+'Res (100kWh)'!$J$55</f>
        <v>0.114</v>
      </c>
      <c r="K55" s="69">
        <f>G55</f>
        <v>270</v>
      </c>
      <c r="L55" s="66">
        <f t="shared" si="10"/>
        <v>30.78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270</v>
      </c>
      <c r="H56" s="66">
        <f t="shared" si="9"/>
        <v>37.800000000000004</v>
      </c>
      <c r="I56" s="28"/>
      <c r="J56" s="263">
        <f>+'Res (100kWh)'!$J$56</f>
        <v>0.14000000000000001</v>
      </c>
      <c r="K56" s="69">
        <f>G56</f>
        <v>270</v>
      </c>
      <c r="L56" s="66">
        <f t="shared" si="10"/>
        <v>37.800000000000004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900</v>
      </c>
      <c r="H58" s="66">
        <f>G58*F58</f>
        <v>92.699999999999989</v>
      </c>
      <c r="I58" s="79"/>
      <c r="J58" s="263">
        <f>+'Res (100kWh)'!$J$58</f>
        <v>0.10299999999999999</v>
      </c>
      <c r="K58" s="78">
        <f>G58</f>
        <v>900</v>
      </c>
      <c r="L58" s="66">
        <f>K58*J58</f>
        <v>92.699999999999989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228.15235999999999</v>
      </c>
      <c r="I60" s="95"/>
      <c r="J60" s="96"/>
      <c r="K60" s="96"/>
      <c r="L60" s="190">
        <f>SUM(L50:L56,L49)</f>
        <v>235.30978561195354</v>
      </c>
      <c r="M60" s="97"/>
      <c r="N60" s="98">
        <f>L60-H60</f>
        <v>7.1574256119535562</v>
      </c>
      <c r="O60" s="99">
        <f>IF((H60)=0,"",(N60/H60))</f>
        <v>3.1371253893466441E-2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29.659806799999998</v>
      </c>
      <c r="I61" s="104"/>
      <c r="J61" s="105">
        <v>0.13</v>
      </c>
      <c r="K61" s="104"/>
      <c r="L61" s="106">
        <f>L60*J61</f>
        <v>30.590272129553963</v>
      </c>
      <c r="M61" s="107"/>
      <c r="N61" s="108">
        <f t="shared" si="2"/>
        <v>0.93046532955396444</v>
      </c>
      <c r="O61" s="109">
        <f t="shared" si="8"/>
        <v>3.1371253893466511E-2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257.8121668</v>
      </c>
      <c r="I62" s="104"/>
      <c r="J62" s="104"/>
      <c r="K62" s="104"/>
      <c r="L62" s="106">
        <f>L60+L61</f>
        <v>265.90005774150751</v>
      </c>
      <c r="M62" s="107"/>
      <c r="N62" s="108">
        <f t="shared" si="2"/>
        <v>8.08789094150751</v>
      </c>
      <c r="O62" s="109">
        <f t="shared" si="8"/>
        <v>3.1371253893466407E-2</v>
      </c>
      <c r="S62" s="72"/>
    </row>
    <row r="63" spans="2:19" ht="15.75" customHeight="1" x14ac:dyDescent="0.3">
      <c r="B63" s="363" t="s">
        <v>43</v>
      </c>
      <c r="C63" s="363"/>
      <c r="D63" s="363"/>
      <c r="E63" s="22"/>
      <c r="F63" s="111"/>
      <c r="G63" s="102"/>
      <c r="H63" s="112">
        <f>ROUND(-H62*10%,2)</f>
        <v>-25.78</v>
      </c>
      <c r="I63" s="104"/>
      <c r="J63" s="104"/>
      <c r="K63" s="104"/>
      <c r="L63" s="113">
        <f>ROUND(-L62*10%,2)</f>
        <v>-26.59</v>
      </c>
      <c r="M63" s="107"/>
      <c r="N63" s="114">
        <f t="shared" si="2"/>
        <v>-0.80999999999999872</v>
      </c>
      <c r="O63" s="115">
        <f t="shared" si="8"/>
        <v>3.1419705197827726E-2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232.0321668</v>
      </c>
      <c r="I64" s="120"/>
      <c r="J64" s="120"/>
      <c r="K64" s="120"/>
      <c r="L64" s="121">
        <f>L62+L63</f>
        <v>239.31005774150751</v>
      </c>
      <c r="M64" s="122"/>
      <c r="N64" s="123">
        <f t="shared" si="2"/>
        <v>7.2778909415075077</v>
      </c>
      <c r="O64" s="124">
        <f t="shared" si="8"/>
        <v>3.1365870697491187E-2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231.15235999999999</v>
      </c>
      <c r="I66" s="136"/>
      <c r="J66" s="137"/>
      <c r="K66" s="137"/>
      <c r="L66" s="189">
        <f>SUM(L57:L58,L49,L50:L53)</f>
        <v>238.30978561195354</v>
      </c>
      <c r="M66" s="138"/>
      <c r="N66" s="139">
        <f>L66-H66</f>
        <v>7.1574256119535562</v>
      </c>
      <c r="O66" s="99">
        <f>IF((H66)=0,"",(N66/H66))</f>
        <v>3.0964103554701135E-2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30.049806799999999</v>
      </c>
      <c r="I67" s="143"/>
      <c r="J67" s="144">
        <v>0.13</v>
      </c>
      <c r="K67" s="145"/>
      <c r="L67" s="146">
        <f>L66*J67</f>
        <v>30.980272129553963</v>
      </c>
      <c r="M67" s="147"/>
      <c r="N67" s="148">
        <f>L67-H67</f>
        <v>0.93046532955396444</v>
      </c>
      <c r="O67" s="109">
        <f>IF((H67)=0,"",(N67/H67))</f>
        <v>3.0964103554701205E-2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261.20216679999999</v>
      </c>
      <c r="I68" s="143"/>
      <c r="J68" s="143"/>
      <c r="K68" s="143"/>
      <c r="L68" s="146">
        <f>L66+L67</f>
        <v>269.2900577415075</v>
      </c>
      <c r="M68" s="147"/>
      <c r="N68" s="148">
        <f>L68-H68</f>
        <v>8.08789094150751</v>
      </c>
      <c r="O68" s="109">
        <f>IF((H68)=0,"",(N68/H68))</f>
        <v>3.0964103554701104E-2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-26.12</v>
      </c>
      <c r="I69" s="143"/>
      <c r="J69" s="143"/>
      <c r="K69" s="143"/>
      <c r="L69" s="153">
        <f>ROUND(-L68*10%,2)</f>
        <v>-26.93</v>
      </c>
      <c r="M69" s="147"/>
      <c r="N69" s="154">
        <f>L69-H69</f>
        <v>-0.80999999999999872</v>
      </c>
      <c r="O69" s="115">
        <f>IF((H69)=0,"",(N69/H69))</f>
        <v>3.1010719754976979E-2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235.08216679999998</v>
      </c>
      <c r="I70" s="159"/>
      <c r="J70" s="159"/>
      <c r="K70" s="159"/>
      <c r="L70" s="160">
        <f>SUM(L68:L69)</f>
        <v>242.36005774150749</v>
      </c>
      <c r="M70" s="161"/>
      <c r="N70" s="162">
        <f>L70-H70</f>
        <v>7.2778909415075077</v>
      </c>
      <c r="O70" s="163">
        <f>IF((H70)=0,"",(N70/H70))</f>
        <v>3.0958924024633877E-2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7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59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2000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2000</v>
      </c>
      <c r="H25" s="27">
        <f t="shared" si="0"/>
        <v>-0.2</v>
      </c>
      <c r="I25" s="28"/>
      <c r="J25" s="173">
        <f>+'Res (100kWh)'!$J$25</f>
        <v>0</v>
      </c>
      <c r="K25" s="26">
        <f>$F$16</f>
        <v>2000</v>
      </c>
      <c r="L25" s="27">
        <f t="shared" si="1"/>
        <v>0</v>
      </c>
      <c r="M25" s="28"/>
      <c r="N25" s="31">
        <f t="shared" si="2"/>
        <v>0.2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2000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2000</v>
      </c>
      <c r="L26" s="27">
        <f t="shared" si="1"/>
        <v>-1.2</v>
      </c>
      <c r="M26" s="28"/>
      <c r="N26" s="31">
        <f t="shared" si="2"/>
        <v>-1.2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2000</v>
      </c>
      <c r="H27" s="27">
        <f t="shared" si="0"/>
        <v>38.4</v>
      </c>
      <c r="I27" s="28"/>
      <c r="J27" s="29">
        <f>+'Res (100kWh)'!$J$27</f>
        <v>2.1700000000000001E-2</v>
      </c>
      <c r="K27" s="26">
        <f>$F$16</f>
        <v>2000</v>
      </c>
      <c r="L27" s="27">
        <f t="shared" si="1"/>
        <v>43.4</v>
      </c>
      <c r="M27" s="28"/>
      <c r="N27" s="31">
        <f t="shared" si="2"/>
        <v>5</v>
      </c>
      <c r="O27" s="32">
        <f t="shared" si="3"/>
        <v>0.13020833333333334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si="4"/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55.51</v>
      </c>
      <c r="I37" s="41"/>
      <c r="J37" s="42"/>
      <c r="K37" s="43"/>
      <c r="L37" s="40">
        <f>SUM(L21:L36)</f>
        <v>59.985191548721076</v>
      </c>
      <c r="M37" s="41"/>
      <c r="N37" s="44">
        <f t="shared" si="2"/>
        <v>4.475191548721078</v>
      </c>
      <c r="O37" s="45">
        <f t="shared" si="3"/>
        <v>8.061955591282792E-2</v>
      </c>
    </row>
    <row r="38" spans="2:15" ht="15" hidden="1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9">
        <f>+'Res (100kWh)'!$J$39</f>
        <v>1.6265827088216363E-3</v>
      </c>
      <c r="K39" s="26">
        <f>$F$16</f>
        <v>2000</v>
      </c>
      <c r="L39" s="27">
        <f t="shared" ref="L39:L45" si="7">K39*J39</f>
        <v>3.2531654176432725</v>
      </c>
      <c r="M39" s="28"/>
      <c r="N39" s="31">
        <f t="shared" si="2"/>
        <v>6.0531654176432728</v>
      </c>
      <c r="O39" s="32">
        <f t="shared" si="3"/>
        <v>-2.1618447920154549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2000</v>
      </c>
      <c r="H43" s="27">
        <f t="shared" si="6"/>
        <v>0.2</v>
      </c>
      <c r="I43" s="28"/>
      <c r="J43" s="29">
        <f>+'Res (100kWh)'!$J$43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61.376000000000019</v>
      </c>
      <c r="I46" s="41"/>
      <c r="J46" s="53"/>
      <c r="K46" s="55"/>
      <c r="L46" s="54">
        <f>SUM(L38:L45)+L37</f>
        <v>71.306356966364362</v>
      </c>
      <c r="M46" s="41"/>
      <c r="N46" s="44">
        <f t="shared" si="2"/>
        <v>9.930356966364343</v>
      </c>
      <c r="O46" s="45">
        <f t="shared" ref="O46:O64" si="8">IF((H46)=0,"",(N46/H46))</f>
        <v>0.16179544066678084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2080.8000000000002</v>
      </c>
      <c r="H47" s="27">
        <f>G47*F47</f>
        <v>15.814080000000001</v>
      </c>
      <c r="I47" s="28"/>
      <c r="J47" s="263">
        <f>+'Res (100kWh)'!$J$47</f>
        <v>7.4000000000000003E-3</v>
      </c>
      <c r="K47" s="70">
        <f>F16*(1+J73)</f>
        <v>2072.4</v>
      </c>
      <c r="L47" s="27">
        <f>K47*J47</f>
        <v>15.335760000000001</v>
      </c>
      <c r="M47" s="28"/>
      <c r="N47" s="31">
        <f t="shared" si="2"/>
        <v>-0.47832000000000008</v>
      </c>
      <c r="O47" s="32">
        <f t="shared" si="8"/>
        <v>-3.0246463910641661E-2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2080.8000000000002</v>
      </c>
      <c r="H48" s="27">
        <f>G48*F48</f>
        <v>4.7858400000000003</v>
      </c>
      <c r="I48" s="28"/>
      <c r="J48" s="263">
        <f>+'Res (100kWh)'!$J$48</f>
        <v>2.3E-3</v>
      </c>
      <c r="K48" s="70">
        <f>K47</f>
        <v>2072.4</v>
      </c>
      <c r="L48" s="27">
        <f>K48*J48</f>
        <v>4.7665199999999999</v>
      </c>
      <c r="M48" s="28"/>
      <c r="N48" s="31">
        <f t="shared" si="2"/>
        <v>-1.9320000000000448E-2</v>
      </c>
      <c r="O48" s="32">
        <f t="shared" si="8"/>
        <v>-4.036908881199632E-3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81.975920000000031</v>
      </c>
      <c r="I49" s="61"/>
      <c r="J49" s="62"/>
      <c r="K49" s="63"/>
      <c r="L49" s="54">
        <f>SUM(L46:L48)</f>
        <v>91.408636966364369</v>
      </c>
      <c r="M49" s="61"/>
      <c r="N49" s="44">
        <f t="shared" si="2"/>
        <v>9.4327169663643389</v>
      </c>
      <c r="O49" s="45">
        <f t="shared" si="8"/>
        <v>0.11506692412069709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263">
        <f>+'Res (100kWh)'!$J$50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263">
        <f>+'Res (100kWh)'!$J$51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2000</v>
      </c>
      <c r="H53" s="66">
        <f t="shared" si="9"/>
        <v>14</v>
      </c>
      <c r="I53" s="28"/>
      <c r="J53" s="263">
        <f>+'Res (100kWh)'!$J$53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+'Res (100kWh)'!$J$54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+'Res (100kWh)'!$J$55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+'Res (100kWh)'!$J$56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+'Res (100kWh)'!$J$58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298.08648000000005</v>
      </c>
      <c r="I60" s="95"/>
      <c r="J60" s="96"/>
      <c r="K60" s="96"/>
      <c r="L60" s="190">
        <f>SUM(L50:L56,L49)</f>
        <v>307.47131696636438</v>
      </c>
      <c r="M60" s="97"/>
      <c r="N60" s="98">
        <f>L60-H60</f>
        <v>9.3848369663643325</v>
      </c>
      <c r="O60" s="99">
        <f>IF((H60)=0,"",(N60/H60))</f>
        <v>3.1483604913461125E-2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38.75124240000001</v>
      </c>
      <c r="I61" s="104"/>
      <c r="J61" s="105">
        <v>0.13</v>
      </c>
      <c r="K61" s="104"/>
      <c r="L61" s="106">
        <f>L60*J61</f>
        <v>39.971271205627374</v>
      </c>
      <c r="M61" s="107"/>
      <c r="N61" s="108">
        <f t="shared" si="2"/>
        <v>1.2200288056273649</v>
      </c>
      <c r="O61" s="109">
        <f t="shared" si="8"/>
        <v>3.1483604913461166E-2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336.83772240000008</v>
      </c>
      <c r="I62" s="104"/>
      <c r="J62" s="104"/>
      <c r="K62" s="104"/>
      <c r="L62" s="106">
        <f>L60+L61</f>
        <v>347.44258817199176</v>
      </c>
      <c r="M62" s="107"/>
      <c r="N62" s="108">
        <f t="shared" si="2"/>
        <v>10.604865771991683</v>
      </c>
      <c r="O62" s="109">
        <f t="shared" si="8"/>
        <v>3.1483604913461083E-2</v>
      </c>
      <c r="S62" s="72"/>
    </row>
    <row r="63" spans="2:19" ht="15.75" customHeight="1" x14ac:dyDescent="0.3">
      <c r="B63" s="363" t="s">
        <v>43</v>
      </c>
      <c r="C63" s="363"/>
      <c r="D63" s="363"/>
      <c r="E63" s="22"/>
      <c r="F63" s="111"/>
      <c r="G63" s="102"/>
      <c r="H63" s="112">
        <f>ROUND(-H62*10%,2)</f>
        <v>-33.68</v>
      </c>
      <c r="I63" s="104"/>
      <c r="J63" s="104"/>
      <c r="K63" s="104"/>
      <c r="L63" s="113">
        <f>ROUND(-L62*10%,2)</f>
        <v>-34.74</v>
      </c>
      <c r="M63" s="107"/>
      <c r="N63" s="114">
        <f t="shared" si="2"/>
        <v>-1.0600000000000023</v>
      </c>
      <c r="O63" s="115">
        <f t="shared" si="8"/>
        <v>3.1472684085510759E-2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303.15772240000007</v>
      </c>
      <c r="I64" s="120"/>
      <c r="J64" s="120"/>
      <c r="K64" s="120"/>
      <c r="L64" s="121">
        <f>L62+L63</f>
        <v>312.70258817199175</v>
      </c>
      <c r="M64" s="122"/>
      <c r="N64" s="123">
        <f t="shared" si="2"/>
        <v>9.544865771991681</v>
      </c>
      <c r="O64" s="124">
        <f t="shared" si="8"/>
        <v>3.1484818187800447E-2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305.08648000000005</v>
      </c>
      <c r="I66" s="136"/>
      <c r="J66" s="137"/>
      <c r="K66" s="137"/>
      <c r="L66" s="189">
        <f>SUM(L57:L58,L49,L50:L53)</f>
        <v>314.47131696636438</v>
      </c>
      <c r="M66" s="138"/>
      <c r="N66" s="139">
        <f>L66-H66</f>
        <v>9.3848369663643325</v>
      </c>
      <c r="O66" s="99">
        <f>IF((H66)=0,"",(N66/H66))</f>
        <v>3.0761235195883904E-2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39.661242400000006</v>
      </c>
      <c r="I67" s="143"/>
      <c r="J67" s="144">
        <v>0.13</v>
      </c>
      <c r="K67" s="145"/>
      <c r="L67" s="146">
        <f>L66*J67</f>
        <v>40.881271205627371</v>
      </c>
      <c r="M67" s="147"/>
      <c r="N67" s="148">
        <f>L67-H67</f>
        <v>1.2200288056273649</v>
      </c>
      <c r="O67" s="109">
        <f>IF((H67)=0,"",(N67/H67))</f>
        <v>3.0761235195883949E-2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344.74772240000004</v>
      </c>
      <c r="I68" s="143"/>
      <c r="J68" s="143"/>
      <c r="K68" s="143"/>
      <c r="L68" s="146">
        <f>L66+L67</f>
        <v>355.35258817199178</v>
      </c>
      <c r="M68" s="147"/>
      <c r="N68" s="148">
        <f>L68-H68</f>
        <v>10.60486577199174</v>
      </c>
      <c r="O68" s="109">
        <f>IF((H68)=0,"",(N68/H68))</f>
        <v>3.0761235195884036E-2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-34.47</v>
      </c>
      <c r="I69" s="143"/>
      <c r="J69" s="143"/>
      <c r="K69" s="143"/>
      <c r="L69" s="153">
        <f>ROUND(-L68*10%,2)</f>
        <v>-35.54</v>
      </c>
      <c r="M69" s="147"/>
      <c r="N69" s="154">
        <f>L69-H69</f>
        <v>-1.0700000000000003</v>
      </c>
      <c r="O69" s="115">
        <f>IF((H69)=0,"",(N69/H69))</f>
        <v>3.1041485349579352E-2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310.27772240000002</v>
      </c>
      <c r="I70" s="159"/>
      <c r="J70" s="159"/>
      <c r="K70" s="159"/>
      <c r="L70" s="160">
        <f>SUM(L68:L69)</f>
        <v>319.81258817199176</v>
      </c>
      <c r="M70" s="161"/>
      <c r="N70" s="162">
        <f>L70-H70</f>
        <v>9.5348657719917469</v>
      </c>
      <c r="O70" s="163">
        <f>IF((H70)=0,"",(N70/H70))</f>
        <v>3.0730101079250886E-2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B1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9.66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67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1000</v>
      </c>
      <c r="G16" s="13" t="s">
        <v>7</v>
      </c>
      <c r="J16" s="280"/>
      <c r="K16" s="34"/>
      <c r="L16" s="34"/>
    </row>
    <row r="17" spans="2:15" ht="15" x14ac:dyDescent="0.25">
      <c r="B17" s="12"/>
      <c r="F17" s="281"/>
      <c r="G17" s="34"/>
      <c r="H17" s="34"/>
      <c r="J17" s="281"/>
      <c r="K17" s="34"/>
      <c r="L17" s="34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282">
        <v>31.96</v>
      </c>
      <c r="G21" s="26">
        <v>1</v>
      </c>
      <c r="H21" s="27">
        <f>G21*F21</f>
        <v>31.96</v>
      </c>
      <c r="I21" s="28"/>
      <c r="J21" s="283">
        <v>36.21</v>
      </c>
      <c r="K21" s="30">
        <v>1</v>
      </c>
      <c r="L21" s="27">
        <f>K21*J21</f>
        <v>36.21</v>
      </c>
      <c r="M21" s="28"/>
      <c r="N21" s="31">
        <f>L21-H21</f>
        <v>4.25</v>
      </c>
      <c r="O21" s="32">
        <f>IF((H21)=0,"",(N21/H21))</f>
        <v>0.13297872340425532</v>
      </c>
    </row>
    <row r="22" spans="2:15" ht="36.75" customHeight="1" x14ac:dyDescent="0.25">
      <c r="B22" s="297" t="s">
        <v>90</v>
      </c>
      <c r="C22" s="22"/>
      <c r="D22" s="56" t="s">
        <v>61</v>
      </c>
      <c r="E22" s="24"/>
      <c r="F22" s="283"/>
      <c r="G22" s="26">
        <f>$F$16</f>
        <v>1000</v>
      </c>
      <c r="H22" s="27">
        <f t="shared" ref="H22:H36" si="0">G22*F22</f>
        <v>0</v>
      </c>
      <c r="I22" s="28"/>
      <c r="J22" s="263">
        <v>5.0000000000000001E-4</v>
      </c>
      <c r="K22" s="26">
        <f>$F$16</f>
        <v>1000</v>
      </c>
      <c r="L22" s="27">
        <f>K22*J22</f>
        <v>0.5</v>
      </c>
      <c r="M22" s="28"/>
      <c r="N22" s="31">
        <f>L22-H22</f>
        <v>0.5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283">
        <v>5.51</v>
      </c>
      <c r="G23" s="26">
        <v>1</v>
      </c>
      <c r="H23" s="27">
        <f t="shared" si="0"/>
        <v>5.51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-5.51</v>
      </c>
      <c r="O23" s="32">
        <f t="shared" ref="O23:O37" si="3">IF((H23)=0,"",(N23/H23))</f>
        <v>-1</v>
      </c>
    </row>
    <row r="24" spans="2:15" ht="15" x14ac:dyDescent="0.25">
      <c r="B24" s="297" t="s">
        <v>92</v>
      </c>
      <c r="C24" s="22"/>
      <c r="D24" s="23" t="s">
        <v>60</v>
      </c>
      <c r="E24" s="24"/>
      <c r="F24" s="284"/>
      <c r="G24" s="26">
        <v>1</v>
      </c>
      <c r="H24" s="27">
        <f t="shared" si="0"/>
        <v>0</v>
      </c>
      <c r="I24" s="28"/>
      <c r="J24" s="283"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305">
        <v>-5.0000000000000002E-5</v>
      </c>
      <c r="G25" s="26">
        <f>$F$16</f>
        <v>1000</v>
      </c>
      <c r="H25" s="27">
        <f t="shared" si="0"/>
        <v>-0.05</v>
      </c>
      <c r="I25" s="28"/>
      <c r="J25" s="263"/>
      <c r="K25" s="26">
        <f>$F$16</f>
        <v>1000</v>
      </c>
      <c r="L25" s="27">
        <f t="shared" si="1"/>
        <v>0</v>
      </c>
      <c r="M25" s="28"/>
      <c r="N25" s="31">
        <f t="shared" si="2"/>
        <v>0.05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84"/>
      <c r="G26" s="26">
        <f>$F$16</f>
        <v>1000</v>
      </c>
      <c r="H26" s="27">
        <f t="shared" si="0"/>
        <v>0</v>
      </c>
      <c r="I26" s="28"/>
      <c r="J26" s="263">
        <v>-5.9999999999999995E-4</v>
      </c>
      <c r="K26" s="26">
        <f>$F$16</f>
        <v>1000</v>
      </c>
      <c r="L26" s="27">
        <f t="shared" si="1"/>
        <v>-0.6</v>
      </c>
      <c r="M26" s="28"/>
      <c r="N26" s="31">
        <f t="shared" si="2"/>
        <v>-0.6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84">
        <v>1.43E-2</v>
      </c>
      <c r="G27" s="26">
        <f>$F$16</f>
        <v>1000</v>
      </c>
      <c r="H27" s="27">
        <f t="shared" si="0"/>
        <v>14.3</v>
      </c>
      <c r="I27" s="28"/>
      <c r="J27" s="263">
        <v>1.61E-2</v>
      </c>
      <c r="K27" s="26">
        <f>$F$16</f>
        <v>1000</v>
      </c>
      <c r="L27" s="27">
        <f t="shared" si="1"/>
        <v>16.100000000000001</v>
      </c>
      <c r="M27" s="28"/>
      <c r="N27" s="31">
        <f t="shared" si="2"/>
        <v>1.8000000000000007</v>
      </c>
      <c r="O27" s="32">
        <f t="shared" si="3"/>
        <v>0.12587412587412591</v>
      </c>
    </row>
    <row r="28" spans="2:15" ht="15" hidden="1" x14ac:dyDescent="0.25">
      <c r="B28" s="24" t="s">
        <v>20</v>
      </c>
      <c r="C28" s="22"/>
      <c r="D28" s="23"/>
      <c r="E28" s="24"/>
      <c r="F28" s="284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84"/>
      <c r="G29" s="26">
        <f>$F$16</f>
        <v>1000</v>
      </c>
      <c r="H29" s="27">
        <f t="shared" si="0"/>
        <v>0</v>
      </c>
      <c r="I29" s="28"/>
      <c r="J29" s="29"/>
      <c r="K29" s="26">
        <f t="shared" si="4"/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84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84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84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84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84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84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84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285"/>
      <c r="G37" s="39"/>
      <c r="H37" s="40">
        <f>SUM(H21:H36)</f>
        <v>51.72</v>
      </c>
      <c r="I37" s="41"/>
      <c r="J37" s="42"/>
      <c r="K37" s="43"/>
      <c r="L37" s="40">
        <f>SUM(L21:L36)</f>
        <v>53.594152864520282</v>
      </c>
      <c r="M37" s="41"/>
      <c r="N37" s="44">
        <f t="shared" si="2"/>
        <v>1.8741528645202834</v>
      </c>
      <c r="O37" s="45">
        <f t="shared" si="3"/>
        <v>3.6236520969069673E-2</v>
      </c>
    </row>
    <row r="38" spans="2:15" ht="15" hidden="1" x14ac:dyDescent="0.25">
      <c r="B38" s="297"/>
      <c r="C38" s="22"/>
      <c r="D38" s="56" t="s">
        <v>60</v>
      </c>
      <c r="E38" s="24"/>
      <c r="F38" s="284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63">
        <v>-1.4E-3</v>
      </c>
      <c r="G39" s="26">
        <f>$F$16</f>
        <v>1000</v>
      </c>
      <c r="H39" s="27">
        <f t="shared" ref="H39:H45" si="6">G39*F39</f>
        <v>-1.4</v>
      </c>
      <c r="I39" s="28"/>
      <c r="J39" s="263">
        <v>1.7925717076986089E-3</v>
      </c>
      <c r="K39" s="26">
        <f>$F$16</f>
        <v>1000</v>
      </c>
      <c r="L39" s="27">
        <f t="shared" ref="L39:L45" si="7">K39*J39</f>
        <v>1.792571707698609</v>
      </c>
      <c r="M39" s="28"/>
      <c r="N39" s="31">
        <f t="shared" ref="N39:N45" si="8">L39-H39</f>
        <v>3.1925717076986091</v>
      </c>
      <c r="O39" s="32">
        <f t="shared" ref="O39:O44" si="9">IF((H39)=0,"",(N39/H39))</f>
        <v>-2.2804083626418636</v>
      </c>
    </row>
    <row r="40" spans="2:15" x14ac:dyDescent="0.3">
      <c r="B40" s="296"/>
      <c r="C40" s="22"/>
      <c r="D40" s="23" t="s">
        <v>61</v>
      </c>
      <c r="E40" s="24"/>
      <c r="F40" s="284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15" hidden="1" x14ac:dyDescent="0.25">
      <c r="B41" s="46"/>
      <c r="C41" s="22"/>
      <c r="D41" s="23" t="s">
        <v>61</v>
      </c>
      <c r="E41" s="24"/>
      <c r="F41" s="284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15" hidden="1" x14ac:dyDescent="0.25">
      <c r="B42" s="46"/>
      <c r="C42" s="22"/>
      <c r="D42" s="23"/>
      <c r="E42" s="24"/>
      <c r="F42" s="284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84">
        <v>1E-4</v>
      </c>
      <c r="G43" s="26">
        <f>$F$16</f>
        <v>1000</v>
      </c>
      <c r="H43" s="27">
        <f t="shared" si="6"/>
        <v>0.1</v>
      </c>
      <c r="I43" s="28"/>
      <c r="J43" s="29"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8"/>
        <v>0.1</v>
      </c>
      <c r="O43" s="32">
        <f t="shared" si="9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286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8"/>
        <v>-0.39900000000000402</v>
      </c>
      <c r="O44" s="187">
        <f t="shared" si="9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282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x14ac:dyDescent="0.3">
      <c r="B46" s="50" t="s">
        <v>27</v>
      </c>
      <c r="C46" s="51"/>
      <c r="D46" s="51"/>
      <c r="E46" s="51"/>
      <c r="F46" s="287"/>
      <c r="G46" s="53"/>
      <c r="H46" s="54">
        <f>SUM(H38:H45)+H37</f>
        <v>55.048000000000009</v>
      </c>
      <c r="I46" s="41"/>
      <c r="J46" s="53"/>
      <c r="K46" s="55"/>
      <c r="L46" s="54">
        <f>SUM(L38:L45)+L37</f>
        <v>59.815724572218897</v>
      </c>
      <c r="M46" s="41"/>
      <c r="N46" s="44">
        <f t="shared" ref="N46:N64" si="10">L46-H46</f>
        <v>4.7677245722188886</v>
      </c>
      <c r="O46" s="45">
        <f t="shared" ref="O46:O64" si="11">IF((H46)=0,"",(N46/H46))</f>
        <v>8.6610314129830113E-2</v>
      </c>
    </row>
    <row r="47" spans="2:15" x14ac:dyDescent="0.3">
      <c r="B47" s="57" t="s">
        <v>28</v>
      </c>
      <c r="C47" s="28"/>
      <c r="D47" s="56" t="s">
        <v>61</v>
      </c>
      <c r="E47" s="57"/>
      <c r="F47" s="263">
        <v>6.8999999999999999E-3</v>
      </c>
      <c r="G47" s="69">
        <f>F16*(1+F73)</f>
        <v>1040.4000000000001</v>
      </c>
      <c r="H47" s="27">
        <f>G47*F47</f>
        <v>7.1787600000000005</v>
      </c>
      <c r="I47" s="28"/>
      <c r="J47" s="263">
        <v>6.7000000000000002E-3</v>
      </c>
      <c r="K47" s="70">
        <f>F16*(1+J73)</f>
        <v>1036.2</v>
      </c>
      <c r="L47" s="27">
        <f>K47*J47</f>
        <v>6.9425400000000002</v>
      </c>
      <c r="M47" s="28"/>
      <c r="N47" s="31">
        <f t="shared" si="10"/>
        <v>-0.23622000000000032</v>
      </c>
      <c r="O47" s="32">
        <f t="shared" si="11"/>
        <v>-3.2905404275947417E-2</v>
      </c>
    </row>
    <row r="48" spans="2:15" x14ac:dyDescent="0.3">
      <c r="B48" s="295" t="s">
        <v>29</v>
      </c>
      <c r="C48" s="28"/>
      <c r="D48" s="56" t="s">
        <v>61</v>
      </c>
      <c r="E48" s="57"/>
      <c r="F48" s="263">
        <v>2.0999999999999999E-3</v>
      </c>
      <c r="G48" s="69">
        <f>G47</f>
        <v>1040.4000000000001</v>
      </c>
      <c r="H48" s="27">
        <f>G48*F48</f>
        <v>2.1848399999999999</v>
      </c>
      <c r="I48" s="28"/>
      <c r="J48" s="263">
        <v>2.0999999999999999E-3</v>
      </c>
      <c r="K48" s="70">
        <f>K47</f>
        <v>1036.2</v>
      </c>
      <c r="L48" s="27">
        <f>K48*J48</f>
        <v>2.1760199999999998</v>
      </c>
      <c r="M48" s="28"/>
      <c r="N48" s="31">
        <f t="shared" si="10"/>
        <v>-8.82000000000005E-3</v>
      </c>
      <c r="O48" s="32">
        <f t="shared" si="11"/>
        <v>-4.0369088811995617E-3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64.411600000000007</v>
      </c>
      <c r="I49" s="61"/>
      <c r="J49" s="62"/>
      <c r="K49" s="63"/>
      <c r="L49" s="54">
        <f>SUM(L46:L48)</f>
        <v>68.934284572218886</v>
      </c>
      <c r="M49" s="61"/>
      <c r="N49" s="44">
        <f t="shared" si="10"/>
        <v>4.5226845722188784</v>
      </c>
      <c r="O49" s="45">
        <f t="shared" si="11"/>
        <v>7.0215373818052623E-2</v>
      </c>
    </row>
    <row r="50" spans="2:19" x14ac:dyDescent="0.3">
      <c r="B50" s="297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1040.4000000000001</v>
      </c>
      <c r="H50" s="66">
        <f t="shared" ref="H50:H56" si="12">G50*F50</f>
        <v>4.5777600000000005</v>
      </c>
      <c r="I50" s="28"/>
      <c r="J50" s="67">
        <f>+F50</f>
        <v>4.4000000000000003E-3</v>
      </c>
      <c r="K50" s="70">
        <f>K48</f>
        <v>1036.2</v>
      </c>
      <c r="L50" s="66">
        <f t="shared" ref="L50:L56" si="13">K50*J50</f>
        <v>4.5592800000000002</v>
      </c>
      <c r="M50" s="28"/>
      <c r="N50" s="31">
        <f t="shared" si="10"/>
        <v>-1.8480000000000274E-2</v>
      </c>
      <c r="O50" s="68">
        <f t="shared" si="11"/>
        <v>-4.0369088811995982E-3</v>
      </c>
    </row>
    <row r="51" spans="2:19" x14ac:dyDescent="0.3">
      <c r="B51" s="297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1040.4000000000001</v>
      </c>
      <c r="H51" s="66">
        <f t="shared" si="12"/>
        <v>1.3525200000000002</v>
      </c>
      <c r="I51" s="28"/>
      <c r="J51" s="67">
        <f>+F51</f>
        <v>1.2999999999999999E-3</v>
      </c>
      <c r="K51" s="70">
        <f>K48</f>
        <v>1036.2</v>
      </c>
      <c r="L51" s="66">
        <f t="shared" si="13"/>
        <v>1.3470599999999999</v>
      </c>
      <c r="M51" s="28"/>
      <c r="N51" s="31">
        <f t="shared" si="10"/>
        <v>-5.4600000000002424E-3</v>
      </c>
      <c r="O51" s="68">
        <f t="shared" si="11"/>
        <v>-4.036908881199717E-3</v>
      </c>
    </row>
    <row r="52" spans="2:19" x14ac:dyDescent="0.3">
      <c r="B52" s="24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f>+F52</f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v>7.0000000000000001E-3</v>
      </c>
      <c r="G53" s="69">
        <f>F16</f>
        <v>1000</v>
      </c>
      <c r="H53" s="66">
        <f t="shared" si="12"/>
        <v>7</v>
      </c>
      <c r="I53" s="28"/>
      <c r="J53" s="67">
        <f>+F53</f>
        <v>7.0000000000000001E-3</v>
      </c>
      <c r="K53" s="70">
        <f>F16</f>
        <v>1000</v>
      </c>
      <c r="L53" s="66">
        <f t="shared" si="13"/>
        <v>7</v>
      </c>
      <c r="M53" s="28"/>
      <c r="N53" s="31">
        <f t="shared" si="10"/>
        <v>0</v>
      </c>
      <c r="O53" s="68">
        <f t="shared" si="11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+'Res (100kWh)'!F54</f>
        <v>7.6999999999999999E-2</v>
      </c>
      <c r="G54" s="69">
        <f>0.64*$F$16</f>
        <v>640</v>
      </c>
      <c r="H54" s="66">
        <f t="shared" si="12"/>
        <v>49.28</v>
      </c>
      <c r="I54" s="28"/>
      <c r="J54" s="263">
        <f t="shared" ref="J54:J58" si="14">+F54</f>
        <v>7.6999999999999999E-2</v>
      </c>
      <c r="K54" s="69">
        <f>G54</f>
        <v>640</v>
      </c>
      <c r="L54" s="66">
        <f t="shared" si="13"/>
        <v>49.28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+'Res (100kWh)'!F55</f>
        <v>0.114</v>
      </c>
      <c r="G55" s="69">
        <f>0.18*$F$16</f>
        <v>180</v>
      </c>
      <c r="H55" s="66">
        <f t="shared" si="12"/>
        <v>20.52</v>
      </c>
      <c r="I55" s="28"/>
      <c r="J55" s="263">
        <f t="shared" si="14"/>
        <v>0.114</v>
      </c>
      <c r="K55" s="69">
        <f>G55</f>
        <v>180</v>
      </c>
      <c r="L55" s="66">
        <f t="shared" si="13"/>
        <v>20.52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(100kWh)'!F56</f>
        <v>0.14000000000000001</v>
      </c>
      <c r="G56" s="69">
        <f>0.18*$F$16</f>
        <v>180</v>
      </c>
      <c r="H56" s="66">
        <f t="shared" si="12"/>
        <v>25.200000000000003</v>
      </c>
      <c r="I56" s="28"/>
      <c r="J56" s="263">
        <f t="shared" si="14"/>
        <v>0.14000000000000001</v>
      </c>
      <c r="K56" s="69">
        <f>G56</f>
        <v>180</v>
      </c>
      <c r="L56" s="66">
        <f t="shared" si="13"/>
        <v>25.200000000000003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(100kWh)'!F57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 t="shared" si="14"/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(100kWh)'!F58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 t="shared" si="14"/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10"/>
        <v>0</v>
      </c>
      <c r="O58" s="68">
        <f t="shared" si="11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172.59188</v>
      </c>
      <c r="I60" s="95"/>
      <c r="J60" s="96"/>
      <c r="K60" s="96"/>
      <c r="L60" s="190">
        <f>SUM(L50:L56,L49)</f>
        <v>177.09062457221887</v>
      </c>
      <c r="M60" s="97"/>
      <c r="N60" s="98">
        <f>L60-H60</f>
        <v>4.4987445722188681</v>
      </c>
      <c r="O60" s="99">
        <f>IF((H60)=0,"",(N60/H60))</f>
        <v>2.6065795054894054E-2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22.436944400000002</v>
      </c>
      <c r="I61" s="104"/>
      <c r="J61" s="105">
        <v>0.13</v>
      </c>
      <c r="K61" s="104"/>
      <c r="L61" s="106">
        <f>L60*J61</f>
        <v>23.021781194388453</v>
      </c>
      <c r="M61" s="107"/>
      <c r="N61" s="108">
        <f t="shared" si="10"/>
        <v>0.58483679438845115</v>
      </c>
      <c r="O61" s="109">
        <f t="shared" si="11"/>
        <v>2.6065795054893977E-2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195.02882440000002</v>
      </c>
      <c r="I62" s="104"/>
      <c r="J62" s="104"/>
      <c r="K62" s="104"/>
      <c r="L62" s="106">
        <f>L60+L61</f>
        <v>200.11240576660731</v>
      </c>
      <c r="M62" s="107"/>
      <c r="N62" s="108">
        <f t="shared" si="10"/>
        <v>5.0835813666072909</v>
      </c>
      <c r="O62" s="109">
        <f t="shared" si="11"/>
        <v>2.6065795054893898E-2</v>
      </c>
      <c r="S62" s="72"/>
    </row>
    <row r="63" spans="2:19" ht="15.75" customHeight="1" x14ac:dyDescent="0.3">
      <c r="B63" s="363" t="s">
        <v>43</v>
      </c>
      <c r="C63" s="363"/>
      <c r="D63" s="363"/>
      <c r="E63" s="22"/>
      <c r="F63" s="111"/>
      <c r="G63" s="102"/>
      <c r="H63" s="112">
        <f>ROUND(-H62*10%,2)</f>
        <v>-19.5</v>
      </c>
      <c r="I63" s="104"/>
      <c r="J63" s="104"/>
      <c r="K63" s="104"/>
      <c r="L63" s="113">
        <f>ROUND(-L62*10%,2)</f>
        <v>-20.010000000000002</v>
      </c>
      <c r="M63" s="107"/>
      <c r="N63" s="114">
        <f t="shared" si="10"/>
        <v>-0.51000000000000156</v>
      </c>
      <c r="O63" s="115">
        <f t="shared" si="11"/>
        <v>2.6153846153846232E-2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175.52882440000002</v>
      </c>
      <c r="I64" s="120"/>
      <c r="J64" s="120"/>
      <c r="K64" s="120"/>
      <c r="L64" s="121">
        <f>L62+L63</f>
        <v>180.10240576660732</v>
      </c>
      <c r="M64" s="122"/>
      <c r="N64" s="123">
        <f t="shared" si="10"/>
        <v>4.5735813666073</v>
      </c>
      <c r="O64" s="124">
        <f t="shared" si="11"/>
        <v>2.6056013206041274E-2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171.59188000000003</v>
      </c>
      <c r="I66" s="136"/>
      <c r="J66" s="137"/>
      <c r="K66" s="137"/>
      <c r="L66" s="189">
        <f>SUM(L57:L58,L49,L50:L53)</f>
        <v>176.09062457221887</v>
      </c>
      <c r="M66" s="138"/>
      <c r="N66" s="139">
        <f>L66-H66</f>
        <v>4.4987445722188397</v>
      </c>
      <c r="O66" s="99">
        <f>IF((H66)=0,"",(N66/H66))</f>
        <v>2.62177008155563E-2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22.306944400000006</v>
      </c>
      <c r="I67" s="143"/>
      <c r="J67" s="144">
        <v>0.13</v>
      </c>
      <c r="K67" s="145"/>
      <c r="L67" s="146">
        <f>L66*J67</f>
        <v>22.891781194388454</v>
      </c>
      <c r="M67" s="147"/>
      <c r="N67" s="148">
        <f>L67-H67</f>
        <v>0.5848367943884476</v>
      </c>
      <c r="O67" s="109">
        <f>IF((H67)=0,"",(N67/H67))</f>
        <v>2.6217700815556227E-2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193.89882440000002</v>
      </c>
      <c r="I68" s="143"/>
      <c r="J68" s="143"/>
      <c r="K68" s="143"/>
      <c r="L68" s="146">
        <f>L66+L67</f>
        <v>198.98240576660731</v>
      </c>
      <c r="M68" s="147"/>
      <c r="N68" s="148">
        <f>L68-H68</f>
        <v>5.0835813666072909</v>
      </c>
      <c r="O68" s="109">
        <f>IF((H68)=0,"",(N68/H68))</f>
        <v>2.6217700815556313E-2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-19.39</v>
      </c>
      <c r="I69" s="143"/>
      <c r="J69" s="143"/>
      <c r="K69" s="143"/>
      <c r="L69" s="153">
        <f>ROUND(-L68*10%,2)</f>
        <v>-19.899999999999999</v>
      </c>
      <c r="M69" s="147"/>
      <c r="N69" s="154">
        <f>L69-H69</f>
        <v>-0.50999999999999801</v>
      </c>
      <c r="O69" s="115">
        <f>IF((H69)=0,"",(N69/H69))</f>
        <v>2.6302217637957606E-2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174.50882440000004</v>
      </c>
      <c r="I70" s="159"/>
      <c r="J70" s="159"/>
      <c r="K70" s="159"/>
      <c r="L70" s="160">
        <f>SUM(L68:L69)</f>
        <v>179.08240576660731</v>
      </c>
      <c r="M70" s="161"/>
      <c r="N70" s="162">
        <f>L70-H70</f>
        <v>4.5735813666072715</v>
      </c>
      <c r="O70" s="163">
        <f>IF((H70)=0,"",(N70/H70))</f>
        <v>2.6208309994249612E-2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v>4.0399999999999998E-2</v>
      </c>
      <c r="J73" s="292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CCFF"/>
    <pageSetUpPr fitToPage="1"/>
  </sheetPr>
  <dimension ref="A1:T89"/>
  <sheetViews>
    <sheetView showGridLines="0" topLeftCell="B1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9.5546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48" t="s">
        <v>98</v>
      </c>
      <c r="O1" s="348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49">
        <v>8</v>
      </c>
      <c r="O2" s="349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50" t="s">
        <v>101</v>
      </c>
      <c r="O3" s="350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51">
        <v>42125</v>
      </c>
      <c r="O5" s="351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47" t="s">
        <v>1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/>
    </row>
    <row r="9" spans="1:20" ht="18.75" customHeight="1" x14ac:dyDescent="0.25">
      <c r="B9" s="347" t="s">
        <v>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6" t="s">
        <v>67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2000</v>
      </c>
      <c r="G16" s="13" t="s">
        <v>7</v>
      </c>
      <c r="J16" s="280"/>
      <c r="K16" s="34"/>
      <c r="L16" s="34"/>
    </row>
    <row r="17" spans="2:15" ht="15" x14ac:dyDescent="0.25">
      <c r="B17" s="12"/>
      <c r="F17" s="281"/>
      <c r="G17" s="34"/>
      <c r="H17" s="34"/>
      <c r="J17" s="281"/>
      <c r="K17" s="34"/>
      <c r="L17" s="34"/>
    </row>
    <row r="18" spans="2:15" ht="15" x14ac:dyDescent="0.25">
      <c r="B18" s="12"/>
      <c r="D18" s="15"/>
      <c r="E18" s="15"/>
      <c r="F18" s="353" t="s">
        <v>8</v>
      </c>
      <c r="G18" s="354"/>
      <c r="H18" s="355"/>
      <c r="J18" s="353" t="s">
        <v>9</v>
      </c>
      <c r="K18" s="354"/>
      <c r="L18" s="355"/>
      <c r="N18" s="353" t="s">
        <v>10</v>
      </c>
      <c r="O18" s="355"/>
    </row>
    <row r="19" spans="2:15" x14ac:dyDescent="0.3">
      <c r="B19" s="12"/>
      <c r="D19" s="35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9" t="s">
        <v>15</v>
      </c>
      <c r="O19" s="361" t="s">
        <v>16</v>
      </c>
    </row>
    <row r="20" spans="2:15" x14ac:dyDescent="0.3">
      <c r="B20" s="12"/>
      <c r="D20" s="35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60"/>
      <c r="O20" s="36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36.21</v>
      </c>
      <c r="K21" s="30">
        <v>1</v>
      </c>
      <c r="L21" s="27">
        <f>K21*J21</f>
        <v>36.21</v>
      </c>
      <c r="M21" s="28"/>
      <c r="N21" s="31">
        <f>L21-H21</f>
        <v>4.25</v>
      </c>
      <c r="O21" s="32">
        <f>IF((H21)=0,"",(N21/H21))</f>
        <v>0.13297872340425532</v>
      </c>
    </row>
    <row r="22" spans="2:15" ht="36.75" customHeight="1" x14ac:dyDescent="0.25">
      <c r="B22" s="296" t="s">
        <v>90</v>
      </c>
      <c r="C22" s="22"/>
      <c r="D22" s="56" t="s">
        <v>61</v>
      </c>
      <c r="E22" s="24"/>
      <c r="F22" s="173"/>
      <c r="G22" s="26">
        <f>$F$16</f>
        <v>2000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2000</v>
      </c>
      <c r="L22" s="27">
        <f>K22*J22</f>
        <v>1</v>
      </c>
      <c r="M22" s="28"/>
      <c r="N22" s="31">
        <f>L22-H22</f>
        <v>1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5" x14ac:dyDescent="0.25">
      <c r="B24" s="297" t="s">
        <v>92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2000</v>
      </c>
      <c r="H25" s="27">
        <f t="shared" si="0"/>
        <v>-0.1</v>
      </c>
      <c r="I25" s="28"/>
      <c r="J25" s="29">
        <f>+'GS&lt;50 (1,000kWh)'!$J$25</f>
        <v>0</v>
      </c>
      <c r="K25" s="26">
        <f>$F$16</f>
        <v>2000</v>
      </c>
      <c r="L25" s="27">
        <f t="shared" si="1"/>
        <v>0</v>
      </c>
      <c r="M25" s="28"/>
      <c r="N25" s="31">
        <f t="shared" si="2"/>
        <v>0.1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2000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2000</v>
      </c>
      <c r="L26" s="27">
        <f t="shared" si="1"/>
        <v>-1.2</v>
      </c>
      <c r="M26" s="28"/>
      <c r="N26" s="31">
        <f t="shared" si="2"/>
        <v>-1.2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2000</v>
      </c>
      <c r="H27" s="27">
        <f t="shared" si="0"/>
        <v>28.6</v>
      </c>
      <c r="I27" s="28"/>
      <c r="J27" s="29">
        <f>+'GS&lt;50 (1,000kWh)'!$J$27</f>
        <v>1.61E-2</v>
      </c>
      <c r="K27" s="26">
        <f>$F$16</f>
        <v>2000</v>
      </c>
      <c r="L27" s="27">
        <f t="shared" si="1"/>
        <v>32.200000000000003</v>
      </c>
      <c r="M27" s="28"/>
      <c r="N27" s="31">
        <f t="shared" si="2"/>
        <v>3.6000000000000014</v>
      </c>
      <c r="O27" s="32">
        <f t="shared" si="3"/>
        <v>0.12587412587412591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si="4"/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65.97</v>
      </c>
      <c r="I37" s="41"/>
      <c r="J37" s="42"/>
      <c r="K37" s="43"/>
      <c r="L37" s="40">
        <f>SUM(L21:L36)</f>
        <v>69.594152864520282</v>
      </c>
      <c r="M37" s="41"/>
      <c r="N37" s="44">
        <f t="shared" si="2"/>
        <v>3.6241528645202834</v>
      </c>
      <c r="O37" s="45">
        <f t="shared" si="3"/>
        <v>5.4936378119149365E-2</v>
      </c>
    </row>
    <row r="38" spans="2:15" ht="15" hidden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63">
        <f>+'GS&lt;50 (1,000kWh)'!$J$39</f>
        <v>1.7925717076986089E-3</v>
      </c>
      <c r="K39" s="26">
        <f>$F$16</f>
        <v>2000</v>
      </c>
      <c r="L39" s="27">
        <f t="shared" ref="L39:L45" si="7">K39*J39</f>
        <v>3.5851434153972179</v>
      </c>
      <c r="M39" s="28"/>
      <c r="N39" s="31">
        <f t="shared" si="2"/>
        <v>6.3851434153972182</v>
      </c>
      <c r="O39" s="32">
        <f t="shared" si="3"/>
        <v>-2.2804083626418636</v>
      </c>
    </row>
    <row r="40" spans="2:15" x14ac:dyDescent="0.3">
      <c r="B40" s="29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2000</v>
      </c>
      <c r="H43" s="27">
        <f t="shared" si="6"/>
        <v>0.2</v>
      </c>
      <c r="I43" s="28"/>
      <c r="J43" s="29">
        <f>+'GS&lt;50 (1,000kWh)'!$J$43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8">
        <f>+'GS&lt;50 (1,000kWh)'!$F$45</f>
        <v>0.79</v>
      </c>
      <c r="G45" s="26">
        <v>1</v>
      </c>
      <c r="H45" s="27">
        <f t="shared" si="6"/>
        <v>0.79</v>
      </c>
      <c r="I45" s="28"/>
      <c r="J45" s="178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71.836000000000013</v>
      </c>
      <c r="I46" s="41"/>
      <c r="J46" s="53"/>
      <c r="K46" s="55"/>
      <c r="L46" s="54">
        <f>SUM(L38:L45)+L37</f>
        <v>81.247296279917506</v>
      </c>
      <c r="M46" s="41"/>
      <c r="N46" s="44">
        <f t="shared" si="2"/>
        <v>9.4112962799174937</v>
      </c>
      <c r="O46" s="45">
        <f t="shared" ref="O46:O64" si="8">IF((H46)=0,"",(N46/H46))</f>
        <v>0.13101086196221243</v>
      </c>
    </row>
    <row r="47" spans="2:15" x14ac:dyDescent="0.3">
      <c r="B47" s="28" t="s">
        <v>28</v>
      </c>
      <c r="C47" s="28"/>
      <c r="D47" s="56" t="s">
        <v>61</v>
      </c>
      <c r="E47" s="57"/>
      <c r="F47" s="263">
        <f>+'GS&lt;50 (1,000kWh)'!$F$47</f>
        <v>6.8999999999999999E-3</v>
      </c>
      <c r="G47" s="69">
        <f>F16*(1+F73)</f>
        <v>2080.8000000000002</v>
      </c>
      <c r="H47" s="27">
        <f>G47*F47</f>
        <v>14.357520000000001</v>
      </c>
      <c r="I47" s="28"/>
      <c r="J47" s="263">
        <f>+'GS&lt;50 (1,000kWh)'!$J$47</f>
        <v>6.7000000000000002E-3</v>
      </c>
      <c r="K47" s="70">
        <f>F16*(1+J73)</f>
        <v>2072.4</v>
      </c>
      <c r="L47" s="27">
        <f>K47*J47</f>
        <v>13.88508</v>
      </c>
      <c r="M47" s="28"/>
      <c r="N47" s="31">
        <f t="shared" si="2"/>
        <v>-0.47244000000000064</v>
      </c>
      <c r="O47" s="32">
        <f t="shared" si="8"/>
        <v>-3.2905404275947417E-2</v>
      </c>
    </row>
    <row r="48" spans="2:15" x14ac:dyDescent="0.3">
      <c r="B48" s="59" t="s">
        <v>29</v>
      </c>
      <c r="C48" s="28"/>
      <c r="D48" s="56" t="s">
        <v>61</v>
      </c>
      <c r="E48" s="57"/>
      <c r="F48" s="263">
        <f>+'GS&lt;50 (1,000kWh)'!$F$48</f>
        <v>2.0999999999999999E-3</v>
      </c>
      <c r="G48" s="69">
        <f>G47</f>
        <v>2080.8000000000002</v>
      </c>
      <c r="H48" s="27">
        <f>G48*F48</f>
        <v>4.3696799999999998</v>
      </c>
      <c r="I48" s="28"/>
      <c r="J48" s="263">
        <f>+'GS&lt;50 (1,000kWh)'!$J$48</f>
        <v>2.0999999999999999E-3</v>
      </c>
      <c r="K48" s="70">
        <f>K47</f>
        <v>2072.4</v>
      </c>
      <c r="L48" s="27">
        <f>K48*J48</f>
        <v>4.3520399999999997</v>
      </c>
      <c r="M48" s="28"/>
      <c r="N48" s="31">
        <f t="shared" si="2"/>
        <v>-1.76400000000001E-2</v>
      </c>
      <c r="O48" s="32">
        <f t="shared" si="8"/>
        <v>-4.0369088811995617E-3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90.563200000000009</v>
      </c>
      <c r="I49" s="61"/>
      <c r="J49" s="62"/>
      <c r="K49" s="63"/>
      <c r="L49" s="54">
        <f>SUM(L46:L48)</f>
        <v>99.484416279917511</v>
      </c>
      <c r="M49" s="61"/>
      <c r="N49" s="44">
        <f t="shared" si="2"/>
        <v>8.9212162799175019</v>
      </c>
      <c r="O49" s="45">
        <f t="shared" si="8"/>
        <v>9.8508183013823511E-2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67">
        <f>+'GS&lt;50 (1,000kWh)'!$J$50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67">
        <f>+'GS&lt;50 (1,000kWh)'!$J$51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177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2000</v>
      </c>
      <c r="H53" s="66">
        <f t="shared" si="9"/>
        <v>14</v>
      </c>
      <c r="I53" s="28"/>
      <c r="J53" s="67">
        <f>+'GS&lt;50 (1,000kWh)'!$J$53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+'GS&lt;50 (1,000kWh)'!$J$54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+'GS&lt;50 (1,000kWh)'!$J$55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+'GS&lt;50 (1,000kWh)'!$J$56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+'GS&lt;50 (1,000kWh)'!$J$58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306.67376000000002</v>
      </c>
      <c r="I60" s="95"/>
      <c r="J60" s="96"/>
      <c r="K60" s="96"/>
      <c r="L60" s="190">
        <f>SUM(L50:L56,L49)</f>
        <v>315.54709627991753</v>
      </c>
      <c r="M60" s="97"/>
      <c r="N60" s="98">
        <f>L60-H60</f>
        <v>8.8733362799175097</v>
      </c>
      <c r="O60" s="99">
        <f>IF((H60)=0,"",(N60/H60))</f>
        <v>2.8934122958278234E-2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39.8675888</v>
      </c>
      <c r="I61" s="104"/>
      <c r="J61" s="105">
        <v>0.13</v>
      </c>
      <c r="K61" s="104"/>
      <c r="L61" s="106">
        <f>L60*J61</f>
        <v>41.021122516389276</v>
      </c>
      <c r="M61" s="107"/>
      <c r="N61" s="108">
        <f t="shared" si="2"/>
        <v>1.1535337163892763</v>
      </c>
      <c r="O61" s="109">
        <f t="shared" si="8"/>
        <v>2.8934122958278234E-2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346.54134880000004</v>
      </c>
      <c r="I62" s="104"/>
      <c r="J62" s="104"/>
      <c r="K62" s="104"/>
      <c r="L62" s="106">
        <f>L60+L61</f>
        <v>356.56821879630678</v>
      </c>
      <c r="M62" s="107"/>
      <c r="N62" s="108">
        <f t="shared" si="2"/>
        <v>10.026869996306743</v>
      </c>
      <c r="O62" s="109">
        <f t="shared" si="8"/>
        <v>2.8934122958278109E-2</v>
      </c>
      <c r="S62" s="72"/>
    </row>
    <row r="63" spans="2:19" ht="15.75" customHeight="1" x14ac:dyDescent="0.3">
      <c r="B63" s="363" t="s">
        <v>43</v>
      </c>
      <c r="C63" s="363"/>
      <c r="D63" s="363"/>
      <c r="E63" s="22"/>
      <c r="F63" s="111"/>
      <c r="G63" s="102"/>
      <c r="H63" s="112">
        <f>ROUND(-H62*10%,2)</f>
        <v>-34.65</v>
      </c>
      <c r="I63" s="104"/>
      <c r="J63" s="104"/>
      <c r="K63" s="104"/>
      <c r="L63" s="113">
        <f>ROUND(-L62*10%,2)</f>
        <v>-35.659999999999997</v>
      </c>
      <c r="M63" s="107"/>
      <c r="N63" s="114">
        <f t="shared" si="2"/>
        <v>-1.009999999999998</v>
      </c>
      <c r="O63" s="115">
        <f t="shared" si="8"/>
        <v>2.9148629148629094E-2</v>
      </c>
    </row>
    <row r="64" spans="2:19" ht="15" thickBot="1" x14ac:dyDescent="0.35">
      <c r="B64" s="364" t="s">
        <v>44</v>
      </c>
      <c r="C64" s="364"/>
      <c r="D64" s="364"/>
      <c r="E64" s="116"/>
      <c r="F64" s="117"/>
      <c r="G64" s="118"/>
      <c r="H64" s="119">
        <f>H62+H63</f>
        <v>311.89134880000006</v>
      </c>
      <c r="I64" s="120"/>
      <c r="J64" s="120"/>
      <c r="K64" s="120"/>
      <c r="L64" s="121">
        <f>L62+L63</f>
        <v>320.90821879630676</v>
      </c>
      <c r="M64" s="122"/>
      <c r="N64" s="123">
        <f t="shared" si="2"/>
        <v>9.0168699963066956</v>
      </c>
      <c r="O64" s="124">
        <f t="shared" si="8"/>
        <v>2.8910292096908249E-2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313.67376000000002</v>
      </c>
      <c r="I66" s="136"/>
      <c r="J66" s="137"/>
      <c r="K66" s="137"/>
      <c r="L66" s="189">
        <f>SUM(L57:L58,L49,L50:L53)</f>
        <v>322.54709627991753</v>
      </c>
      <c r="M66" s="138"/>
      <c r="N66" s="139">
        <f>L66-H66</f>
        <v>8.8733362799175097</v>
      </c>
      <c r="O66" s="99">
        <f>IF((H66)=0,"",(N66/H66))</f>
        <v>2.828842387044906E-2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40.777588800000004</v>
      </c>
      <c r="I67" s="143"/>
      <c r="J67" s="144">
        <v>0.13</v>
      </c>
      <c r="K67" s="145"/>
      <c r="L67" s="146">
        <f>L66*J67</f>
        <v>41.93112251638928</v>
      </c>
      <c r="M67" s="147"/>
      <c r="N67" s="148">
        <f>L67-H67</f>
        <v>1.1535337163892763</v>
      </c>
      <c r="O67" s="109">
        <f>IF((H67)=0,"",(N67/H67))</f>
        <v>2.8288423870449057E-2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354.45134880000001</v>
      </c>
      <c r="I68" s="143"/>
      <c r="J68" s="143"/>
      <c r="K68" s="143"/>
      <c r="L68" s="146">
        <f>L66+L67</f>
        <v>364.47821879630681</v>
      </c>
      <c r="M68" s="147"/>
      <c r="N68" s="148">
        <f>L68-H68</f>
        <v>10.0268699963068</v>
      </c>
      <c r="O68" s="109">
        <f>IF((H68)=0,"",(N68/H68))</f>
        <v>2.8288423870449102E-2</v>
      </c>
    </row>
    <row r="69" spans="1:15" s="73" customFormat="1" ht="15.75" customHeight="1" x14ac:dyDescent="0.25">
      <c r="B69" s="365" t="s">
        <v>43</v>
      </c>
      <c r="C69" s="365"/>
      <c r="D69" s="365"/>
      <c r="E69" s="75"/>
      <c r="F69" s="150"/>
      <c r="G69" s="151"/>
      <c r="H69" s="152">
        <f>ROUND(-H68*10%,2)</f>
        <v>-35.450000000000003</v>
      </c>
      <c r="I69" s="143"/>
      <c r="J69" s="143"/>
      <c r="K69" s="143"/>
      <c r="L69" s="153">
        <f>ROUND(-L68*10%,2)</f>
        <v>-36.450000000000003</v>
      </c>
      <c r="M69" s="147"/>
      <c r="N69" s="154">
        <f>L69-H69</f>
        <v>-1</v>
      </c>
      <c r="O69" s="115">
        <f>IF((H69)=0,"",(N69/H69))</f>
        <v>2.8208744710860365E-2</v>
      </c>
    </row>
    <row r="70" spans="1:15" s="73" customFormat="1" ht="13.8" thickBot="1" x14ac:dyDescent="0.3">
      <c r="B70" s="356" t="s">
        <v>46</v>
      </c>
      <c r="C70" s="356"/>
      <c r="D70" s="356"/>
      <c r="E70" s="155"/>
      <c r="F70" s="156"/>
      <c r="G70" s="157"/>
      <c r="H70" s="158">
        <f>SUM(H68:H69)</f>
        <v>319.00134880000002</v>
      </c>
      <c r="I70" s="159"/>
      <c r="J70" s="159"/>
      <c r="K70" s="159"/>
      <c r="L70" s="160">
        <f>SUM(L68:L69)</f>
        <v>328.02821879630682</v>
      </c>
      <c r="M70" s="161"/>
      <c r="N70" s="162">
        <f>L70-H70</f>
        <v>9.0268699963068002</v>
      </c>
      <c r="O70" s="163">
        <f>IF((H70)=0,"",(N70/H70))</f>
        <v>2.8297278460619475E-2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19</vt:i4>
      </vt:variant>
    </vt:vector>
  </HeadingPairs>
  <TitlesOfParts>
    <vt:vector size="43" baseType="lpstr">
      <vt:lpstr>Res (100kWh)</vt:lpstr>
      <vt:lpstr>Res (250kWh)</vt:lpstr>
      <vt:lpstr>Res (500kWh)</vt:lpstr>
      <vt:lpstr>Res (800kWh)</vt:lpstr>
      <vt:lpstr>Res (1,000kWh)</vt:lpstr>
      <vt:lpstr>Res (1,500kWh)</vt:lpstr>
      <vt:lpstr>Res (2,000kWh)</vt:lpstr>
      <vt:lpstr>GS&lt;50 (1,000kWh)</vt:lpstr>
      <vt:lpstr>GS&lt;50 (2,000kWh)</vt:lpstr>
      <vt:lpstr>GS&lt;50 (5,000kWh)</vt:lpstr>
      <vt:lpstr>GS&lt;50 (10,000kWh)</vt:lpstr>
      <vt:lpstr>GS&lt;50 (15,000kWh)</vt:lpstr>
      <vt:lpstr>GS 50-4999 (60kW)</vt:lpstr>
      <vt:lpstr>GS 50-4999 (100kW)</vt:lpstr>
      <vt:lpstr>GS 50-4999 (250kW)</vt:lpstr>
      <vt:lpstr>GS 50-4999 (500kW)</vt:lpstr>
      <vt:lpstr>GS 50-4999 (1,000kW)</vt:lpstr>
      <vt:lpstr>LU (14,500kW)</vt:lpstr>
      <vt:lpstr>SL (1kW)</vt:lpstr>
      <vt:lpstr>SL (.14 kW)</vt:lpstr>
      <vt:lpstr>USL (150kWh)</vt:lpstr>
      <vt:lpstr>ED (6,000kW)</vt:lpstr>
      <vt:lpstr>Summary</vt:lpstr>
      <vt:lpstr>Sum Typical</vt:lpstr>
      <vt:lpstr>'GS 50-4999 (1,000kW)'!Print_Area</vt:lpstr>
      <vt:lpstr>'GS 50-4999 (100kW)'!Print_Area</vt:lpstr>
      <vt:lpstr>'GS 50-4999 (500kW)'!Print_Area</vt:lpstr>
      <vt:lpstr>'GS 50-4999 (60kW)'!Print_Area</vt:lpstr>
      <vt:lpstr>'GS&lt;50 (1,000kWh)'!Print_Area</vt:lpstr>
      <vt:lpstr>'GS&lt;50 (10,000kWh)'!Print_Area</vt:lpstr>
      <vt:lpstr>'GS&lt;50 (15,000kWh)'!Print_Area</vt:lpstr>
      <vt:lpstr>'GS&lt;50 (2,000kWh)'!Print_Area</vt:lpstr>
      <vt:lpstr>'GS&lt;50 (5,000kWh)'!Print_Area</vt:lpstr>
      <vt:lpstr>'LU (14,500kW)'!Print_Area</vt:lpstr>
      <vt:lpstr>'Res (1,000kWh)'!Print_Area</vt:lpstr>
      <vt:lpstr>'Res (1,500kWh)'!Print_Area</vt:lpstr>
      <vt:lpstr>'Res (100kWh)'!Print_Area</vt:lpstr>
      <vt:lpstr>'Res (2,000kWh)'!Print_Area</vt:lpstr>
      <vt:lpstr>'Res (250kWh)'!Print_Area</vt:lpstr>
      <vt:lpstr>'Res (500kWh)'!Print_Area</vt:lpstr>
      <vt:lpstr>'Res (800kWh)'!Print_Area</vt:lpstr>
      <vt:lpstr>'SL (1kW)'!Print_Area</vt:lpstr>
      <vt:lpstr>'USL (150kWh)'!Print_Area</vt:lpstr>
    </vt:vector>
  </TitlesOfParts>
  <Company>Cambridge and North Dumfries Hydro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Chris Amos</cp:lastModifiedBy>
  <cp:lastPrinted>2015-04-28T20:37:45Z</cp:lastPrinted>
  <dcterms:created xsi:type="dcterms:W3CDTF">2013-08-28T15:11:04Z</dcterms:created>
  <dcterms:modified xsi:type="dcterms:W3CDTF">2015-05-01T16:57:40Z</dcterms:modified>
</cp:coreProperties>
</file>